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879" activeTab="0"/>
  </bookViews>
  <sheets>
    <sheet name="Analyse Carbone" sheetId="1" r:id="rId1"/>
    <sheet name="Matières premières" sheetId="2" r:id="rId2"/>
    <sheet name="Energies fossiles" sheetId="3" r:id="rId3"/>
    <sheet name="Fabrication" sheetId="4" r:id="rId4"/>
    <sheet name="Distribution" sheetId="5" r:id="rId5"/>
    <sheet name="Utilisation du produit" sheetId="6" r:id="rId6"/>
    <sheet name="Valorisation du produit usagé" sheetId="7" r:id="rId7"/>
  </sheets>
  <definedNames/>
  <calcPr fullCalcOnLoad="1"/>
</workbook>
</file>

<file path=xl/comments1.xml><?xml version="1.0" encoding="utf-8"?>
<comments xmlns="http://schemas.openxmlformats.org/spreadsheetml/2006/main">
  <authors>
    <author>ftraissard</author>
  </authors>
  <commentList>
    <comment ref="A56" authorId="0">
      <text>
        <r>
          <rPr>
            <i/>
            <sz val="10"/>
            <rFont val="Tahoma"/>
            <family val="2"/>
          </rPr>
          <t>V GAS est un jeu de réalité virtuelle qui simule la manière dont les modes de vie influent sur le changement climatique. Destiné principalement aux jeunes et développé dans le cadre du projet VIRTUALIS financé par l'Union européenne. 
Le jeu consiste en une maison en trois dimensions, au sein de laquelle le joueur doit établir son propre profil, à savoir : indiquer les dimensions de sa maison, installer le thermostat et l'éclairage, disposer des mêmes types d'appareils ménagers et de gadgets rencontrés dans son propre foyer et choisir ses hobbies et moyens de transport. Ces données ont pour finalité de transformer la maison 3D en une copie parfaite de la maison du joueur. 
Après avoir établi son profil, le joueur peut commencer la partie en se déplaçant dans la maison, l'objectif étant d'émettre le moins possible de gaz à effet de serre, tout en maintenant un confort dans la maison et en assurant sa fonctionnalité. 
Le joueur est confronté à différents scénarios dans lesquels il doit choisir un style de vie et faire des compromis, comme par exemple déterminer quels sont les avantages et les inconvénients s'il passe du transport privé au transport public. Le comportement du joueur est enregistré et ses actions se reflètent dans les niveaux de méthane, de dioxyde de carbone et d'oxydes d'azote affichés à l'écran. 
Plusieurs sources de gaz à effet de serre sont prises en compte, notamment la combustion de carburant par l'industrie de l'énergie et le transport; les émissions fugitives de combustibles solides ; la fermentation entérique et la gestion du fumier ; la riziculture ; la mise en décharge des déchets solides et l'incinération des déchets. 
Le joueur peut jouer seul ou à plusieurs, et comparer ses taux d'émissions avec les autres joueurs de son pays et du reste du monde. Le jeu comprend une bibliothèque virtuelle qui permet aux joueurs de se familiariser avec la question des gaz à effet de serre et leurs implications, et de découvrir les actions entreprises par l'UE pour essayer de réduire les émissions.</t>
        </r>
      </text>
    </comment>
    <comment ref="C41" authorId="0">
      <text>
        <r>
          <rPr>
            <b/>
            <sz val="10"/>
            <rFont val="Tahoma"/>
            <family val="2"/>
          </rPr>
          <t>Un grand arbre absorbe 500 kg de carbone, il pourra donc absorber 1,835 tonne de CO2, lors de sa pousse durant 50 ans (durée de vie moyenne). 
Bilan : en moyenne cet arbre pourra absorber : 
1,835 / 50 = 0,0367 tonnes = 36,7 kg de CO2 par an.</t>
        </r>
        <r>
          <rPr>
            <b/>
            <sz val="8"/>
            <rFont val="Tahoma"/>
            <family val="0"/>
          </rPr>
          <t xml:space="preserve">
</t>
        </r>
      </text>
    </comment>
    <comment ref="A48" authorId="0">
      <text>
        <r>
          <rPr>
            <sz val="10"/>
            <rFont val="Tahoma"/>
            <family val="2"/>
          </rPr>
          <t>Il peut donc agir directement sur une partie de ses consommations d’énergie à la maison et sur son lieu de travail (chauffage, éclairage, bureautique...). 
Une tonne métrique équivaut à 1000 kilogrammes. 
Le volume d'une tonne de GES remplirait une maison à deux étages comptant trois chambres à coucher.
Une voiture essence parcourant 1000 kilometres produit en moyenne 220 kg de CO2, une voiture diesel en produit 170 kg, alors qu'un vehicule roulant au GPL ou un vehicule hybride en produisent environ 100 kg. 
Aujourd'hui, il suffit de parcourir en moyenne 4 000 km pour franchir votre quota annuel de 500 kg de CO2. 500 Kg c'est ce que chacun d'entre nous devrait produire d'ici à 2050 pour ramener la planète à l'équilibre.</t>
        </r>
      </text>
    </comment>
  </commentList>
</comments>
</file>

<file path=xl/comments2.xml><?xml version="1.0" encoding="utf-8"?>
<comments xmlns="http://schemas.openxmlformats.org/spreadsheetml/2006/main">
  <authors>
    <author>NF</author>
  </authors>
  <commentList>
    <comment ref="B34" authorId="0">
      <text>
        <r>
          <rPr>
            <i/>
            <sz val="8"/>
            <rFont val="Tahoma"/>
            <family val="2"/>
          </rPr>
          <t>Masse volumique Epoxyde : 
1,15 kg/dm3</t>
        </r>
      </text>
    </comment>
    <comment ref="B5" authorId="0">
      <text>
        <r>
          <rPr>
            <i/>
            <sz val="8"/>
            <rFont val="Tahoma"/>
            <family val="2"/>
          </rPr>
          <t>Masse volumique Acier :
7,85 kg/dm3</t>
        </r>
      </text>
    </comment>
    <comment ref="B6" authorId="0">
      <text>
        <r>
          <rPr>
            <i/>
            <sz val="8"/>
            <rFont val="Tahoma"/>
            <family val="2"/>
          </rPr>
          <t>Masse volumique Acier :
7,85 kg/dm3</t>
        </r>
      </text>
    </comment>
    <comment ref="B7" authorId="0">
      <text>
        <r>
          <rPr>
            <i/>
            <sz val="8"/>
            <rFont val="Tahoma"/>
            <family val="2"/>
          </rPr>
          <t>Masse volumique Acier :
7,85 kg/dm3</t>
        </r>
      </text>
    </comment>
    <comment ref="B8" authorId="0">
      <text>
        <r>
          <rPr>
            <i/>
            <sz val="8"/>
            <rFont val="Tahoma"/>
            <family val="2"/>
          </rPr>
          <t>Masse volumique Acier :
7,85 kg/dm3</t>
        </r>
      </text>
    </comment>
    <comment ref="B10" authorId="0">
      <text>
        <r>
          <rPr>
            <i/>
            <sz val="8"/>
            <rFont val="Tahoma"/>
            <family val="2"/>
          </rPr>
          <t>Masse volumique Aluminium :
2,7 kg/dm3</t>
        </r>
      </text>
    </comment>
    <comment ref="B11" authorId="0">
      <text>
        <r>
          <rPr>
            <i/>
            <sz val="8"/>
            <rFont val="Tahoma"/>
            <family val="2"/>
          </rPr>
          <t>Masse volumique Aluminium :
2,7 kg/dm3</t>
        </r>
      </text>
    </comment>
    <comment ref="B12" authorId="0">
      <text>
        <r>
          <rPr>
            <i/>
            <sz val="8"/>
            <rFont val="Tahoma"/>
            <family val="2"/>
          </rPr>
          <t>Masse volumique Aluminium :
2,7 kg/dm3</t>
        </r>
      </text>
    </comment>
    <comment ref="B14" authorId="0">
      <text>
        <r>
          <rPr>
            <i/>
            <sz val="8"/>
            <rFont val="Tahoma"/>
            <family val="2"/>
          </rPr>
          <t>Masse volumique Plomb :
11,35 kg/dm3</t>
        </r>
      </text>
    </comment>
    <comment ref="B15" authorId="0">
      <text>
        <r>
          <rPr>
            <i/>
            <sz val="8"/>
            <rFont val="Tahoma"/>
            <family val="2"/>
          </rPr>
          <t>Masse volumique Zinc :
7,15 kg/dm3</t>
        </r>
      </text>
    </comment>
    <comment ref="B16" authorId="0">
      <text>
        <r>
          <rPr>
            <i/>
            <sz val="8"/>
            <rFont val="Tahoma"/>
            <family val="2"/>
          </rPr>
          <t>Masse volumique Cuivre :
8,92 kg/dm3</t>
        </r>
      </text>
    </comment>
    <comment ref="B17" authorId="0">
      <text>
        <r>
          <rPr>
            <i/>
            <sz val="8"/>
            <rFont val="Tahoma"/>
            <family val="2"/>
          </rPr>
          <t>Masse volumique Nickel :
8,9 kg/dm3</t>
        </r>
      </text>
    </comment>
    <comment ref="B23" authorId="0">
      <text>
        <r>
          <rPr>
            <i/>
            <sz val="8"/>
            <rFont val="Tahoma"/>
            <family val="2"/>
          </rPr>
          <t>Masse volumique ABS :
1,05 kg/dm3</t>
        </r>
      </text>
    </comment>
    <comment ref="B24" authorId="0">
      <text>
        <r>
          <rPr>
            <i/>
            <sz val="8"/>
            <rFont val="Tahoma"/>
            <family val="2"/>
          </rPr>
          <t>Masse volumique ABS :
1,05 kg/dm3</t>
        </r>
      </text>
    </comment>
    <comment ref="B22" authorId="0">
      <text>
        <r>
          <rPr>
            <i/>
            <sz val="8"/>
            <rFont val="Tahoma"/>
            <family val="2"/>
          </rPr>
          <t>Masse volumique PVC :
1,395 kg/dm3</t>
        </r>
      </text>
    </comment>
    <comment ref="B21" authorId="0">
      <text>
        <r>
          <rPr>
            <i/>
            <sz val="8"/>
            <rFont val="Tahoma"/>
            <family val="2"/>
          </rPr>
          <t>Masse volumique PS :
1,05 kg/dm3</t>
        </r>
      </text>
    </comment>
    <comment ref="B35" authorId="0">
      <text>
        <r>
          <rPr>
            <i/>
            <sz val="8"/>
            <rFont val="Tahoma"/>
            <family val="2"/>
          </rPr>
          <t>Masse volumique Nylon :
1,14 kg/dm3</t>
        </r>
      </text>
    </comment>
    <comment ref="B29" authorId="0">
      <text>
        <r>
          <rPr>
            <i/>
            <sz val="8"/>
            <rFont val="Tahoma"/>
            <family val="2"/>
          </rPr>
          <t>Masse volumique PET :
1,395 kg/dm3</t>
        </r>
      </text>
    </comment>
    <comment ref="B30" authorId="0">
      <text>
        <r>
          <rPr>
            <i/>
            <sz val="8"/>
            <rFont val="Tahoma"/>
            <family val="2"/>
          </rPr>
          <t>Masse volumique PET :
1,395 kg/dm3</t>
        </r>
      </text>
    </comment>
    <comment ref="B31" authorId="0">
      <text>
        <r>
          <rPr>
            <i/>
            <sz val="8"/>
            <rFont val="Tahoma"/>
            <family val="2"/>
          </rPr>
          <t>Masse volumique PET :
1,395 kg/dm3</t>
        </r>
      </text>
    </comment>
    <comment ref="B32" authorId="0">
      <text>
        <r>
          <rPr>
            <i/>
            <sz val="8"/>
            <rFont val="Tahoma"/>
            <family val="2"/>
          </rPr>
          <t>Masse volumique PET :
1,395 kg/dm3</t>
        </r>
      </text>
    </comment>
    <comment ref="B33" authorId="0">
      <text>
        <r>
          <rPr>
            <i/>
            <sz val="8"/>
            <rFont val="Tahoma"/>
            <family val="2"/>
          </rPr>
          <t>Masse volumique PET :
1,395 kg/dm3</t>
        </r>
      </text>
    </comment>
    <comment ref="B25" authorId="0">
      <text>
        <r>
          <rPr>
            <i/>
            <sz val="8"/>
            <rFont val="Tahoma"/>
            <family val="2"/>
          </rPr>
          <t>Masse volumique PP hd :
0,96 kg/dm3</t>
        </r>
      </text>
    </comment>
    <comment ref="B26" authorId="0">
      <text>
        <r>
          <rPr>
            <i/>
            <sz val="8"/>
            <rFont val="Tahoma"/>
            <family val="2"/>
          </rPr>
          <t>Masse volumique PP hd :
0,96 kg/dm3</t>
        </r>
      </text>
    </comment>
    <comment ref="B27" authorId="0">
      <text>
        <r>
          <rPr>
            <i/>
            <sz val="8"/>
            <rFont val="Tahoma"/>
            <family val="2"/>
          </rPr>
          <t>Masse volumique PP bd :
0,91 kg/dm3</t>
        </r>
      </text>
    </comment>
    <comment ref="B28" authorId="0">
      <text>
        <r>
          <rPr>
            <i/>
            <sz val="8"/>
            <rFont val="Tahoma"/>
            <family val="2"/>
          </rPr>
          <t>Masse volumique PP bd :
0,91 kg/dm3</t>
        </r>
      </text>
    </comment>
    <comment ref="B41" authorId="0">
      <text>
        <r>
          <rPr>
            <i/>
            <sz val="8"/>
            <rFont val="Tahoma"/>
            <family val="2"/>
          </rPr>
          <t>Masse volumique Verre plat :
2,53 kg/dm3</t>
        </r>
      </text>
    </comment>
    <comment ref="B40" authorId="0">
      <text>
        <r>
          <rPr>
            <i/>
            <sz val="8"/>
            <rFont val="Tahoma"/>
            <family val="2"/>
          </rPr>
          <t>Masse volumique Verre :
2,5 kg/dm3</t>
        </r>
      </text>
    </comment>
    <comment ref="B43" authorId="0">
      <text>
        <r>
          <rPr>
            <i/>
            <sz val="8"/>
            <rFont val="Tahoma"/>
            <family val="2"/>
          </rPr>
          <t>Masse volumique Verre :
2,5 kg/dm3</t>
        </r>
      </text>
    </comment>
    <comment ref="B46" authorId="0">
      <text>
        <r>
          <rPr>
            <i/>
            <sz val="8"/>
            <rFont val="Tahoma"/>
            <family val="2"/>
          </rPr>
          <t>Masse volumique Verre :
2,5 kg/dm3</t>
        </r>
      </text>
    </comment>
    <comment ref="B47" authorId="0">
      <text>
        <r>
          <rPr>
            <i/>
            <sz val="8"/>
            <rFont val="Tahoma"/>
            <family val="2"/>
          </rPr>
          <t>Masse volumique Verre :
2,5 kg/dm3</t>
        </r>
      </text>
    </comment>
    <comment ref="B48" authorId="0">
      <text>
        <r>
          <rPr>
            <i/>
            <sz val="8"/>
            <rFont val="Tahoma"/>
            <family val="2"/>
          </rPr>
          <t>Masse volumique Verre :
2,5 kg/dm3</t>
        </r>
      </text>
    </comment>
    <comment ref="B44" authorId="0">
      <text>
        <r>
          <rPr>
            <i/>
            <sz val="8"/>
            <rFont val="Tahoma"/>
            <family val="2"/>
          </rPr>
          <t>Masse volumique Verre :
2,5 kg/dm3</t>
        </r>
      </text>
    </comment>
    <comment ref="B42" authorId="0">
      <text>
        <r>
          <rPr>
            <i/>
            <sz val="8"/>
            <rFont val="Tahoma"/>
            <family val="2"/>
          </rPr>
          <t>Masse volumique Laine de verre :
0,025 kg/dm3</t>
        </r>
      </text>
    </comment>
  </commentList>
</comments>
</file>

<file path=xl/comments3.xml><?xml version="1.0" encoding="utf-8"?>
<comments xmlns="http://schemas.openxmlformats.org/spreadsheetml/2006/main">
  <authors>
    <author>ftraissard</author>
    <author>NF</author>
  </authors>
  <commentList>
    <comment ref="B4" authorId="0">
      <text>
        <r>
          <rPr>
            <b/>
            <sz val="8"/>
            <rFont val="Tahoma"/>
            <family val="0"/>
          </rPr>
          <t>"du puits au réservoir"</t>
        </r>
        <r>
          <rPr>
            <sz val="8"/>
            <rFont val="Tahoma"/>
            <family val="2"/>
          </rPr>
          <t xml:space="preserve"> 
transport par bateau, pipe-line, camion...</t>
        </r>
      </text>
    </comment>
    <comment ref="B22" authorId="0">
      <text>
        <r>
          <rPr>
            <sz val="8"/>
            <rFont val="Tahoma"/>
            <family val="2"/>
          </rPr>
          <t>PCS : pouvoir calorifique supérieur</t>
        </r>
      </text>
    </comment>
    <comment ref="B23" authorId="0">
      <text>
        <r>
          <rPr>
            <sz val="8"/>
            <rFont val="Tahoma"/>
            <family val="2"/>
          </rPr>
          <t>PCS : pouvoir calorifique supérieur</t>
        </r>
      </text>
    </comment>
    <comment ref="B24" authorId="0">
      <text>
        <r>
          <rPr>
            <sz val="8"/>
            <rFont val="Tahoma"/>
            <family val="2"/>
          </rPr>
          <t>PCS : pouvoir calorifique supérieur</t>
        </r>
      </text>
    </comment>
    <comment ref="B26" authorId="0">
      <text>
        <r>
          <rPr>
            <sz val="8"/>
            <rFont val="Tahoma"/>
            <family val="2"/>
          </rPr>
          <t>PCS : pouvoir calorifique supérieur</t>
        </r>
      </text>
    </comment>
    <comment ref="B62" authorId="0">
      <text>
        <r>
          <rPr>
            <sz val="8"/>
            <rFont val="Tahoma"/>
            <family val="2"/>
          </rPr>
          <t>PCS : pouvoir calorifique supérieur</t>
        </r>
      </text>
    </comment>
    <comment ref="B63" authorId="0">
      <text>
        <r>
          <rPr>
            <sz val="8"/>
            <rFont val="Tahoma"/>
            <family val="2"/>
          </rPr>
          <t>PCS : pouvoir calorifique supérieur</t>
        </r>
      </text>
    </comment>
    <comment ref="B64" authorId="0">
      <text>
        <r>
          <rPr>
            <sz val="8"/>
            <rFont val="Tahoma"/>
            <family val="2"/>
          </rPr>
          <t>PCS : pouvoir calorifique supérieur</t>
        </r>
      </text>
    </comment>
    <comment ref="B66" authorId="0">
      <text>
        <r>
          <rPr>
            <sz val="8"/>
            <rFont val="Tahoma"/>
            <family val="2"/>
          </rPr>
          <t>PCS : pouvoir calorifique supérieur</t>
        </r>
      </text>
    </comment>
    <comment ref="D5" authorId="1">
      <text>
        <r>
          <rPr>
            <i/>
            <sz val="8"/>
            <rFont val="Tahoma"/>
            <family val="2"/>
          </rPr>
          <t>à 15°C</t>
        </r>
      </text>
    </comment>
    <comment ref="D45" authorId="1">
      <text>
        <r>
          <rPr>
            <i/>
            <sz val="8"/>
            <rFont val="Tahoma"/>
            <family val="2"/>
          </rPr>
          <t>à 15°C</t>
        </r>
      </text>
    </comment>
  </commentList>
</comments>
</file>

<file path=xl/comments4.xml><?xml version="1.0" encoding="utf-8"?>
<comments xmlns="http://schemas.openxmlformats.org/spreadsheetml/2006/main">
  <authors>
    <author>ftraissard</author>
  </authors>
  <commentList>
    <comment ref="B8" authorId="0">
      <text>
        <r>
          <rPr>
            <i/>
            <sz val="10"/>
            <rFont val="Tahoma"/>
            <family val="2"/>
          </rPr>
          <t>[dont production des produits chimiques et production des galettes de silicium]</t>
        </r>
      </text>
    </comment>
    <comment ref="B9" authorId="0">
      <text>
        <r>
          <rPr>
            <i/>
            <sz val="10"/>
            <rFont val="Tahoma"/>
            <family val="2"/>
          </rPr>
          <t>[dont production des produits chimiques et production des galettes de silicium]</t>
        </r>
      </text>
    </comment>
  </commentList>
</comments>
</file>

<file path=xl/comments5.xml><?xml version="1.0" encoding="utf-8"?>
<comments xmlns="http://schemas.openxmlformats.org/spreadsheetml/2006/main">
  <authors>
    <author>NF</author>
  </authors>
  <commentList>
    <comment ref="D92" authorId="0">
      <text>
        <r>
          <rPr>
            <b/>
            <sz val="8"/>
            <rFont val="Tahoma"/>
            <family val="0"/>
          </rPr>
          <t>1 nœud = 1 mille marin par heure = 1,852 km/h</t>
        </r>
      </text>
    </comment>
    <comment ref="F91" authorId="0">
      <text>
        <r>
          <rPr>
            <sz val="8"/>
            <rFont val="Tahoma"/>
            <family val="2"/>
          </rPr>
          <t>pour la force motrice du navire</t>
        </r>
      </text>
    </comment>
    <comment ref="G91" authorId="0">
      <text>
        <r>
          <rPr>
            <sz val="8"/>
            <rFont val="Tahoma"/>
            <family val="2"/>
          </rPr>
          <t>pour les besoins énergétiques autres que la traction du navire (électricité, chauffage de l'équipage, etc.)</t>
        </r>
      </text>
    </comment>
    <comment ref="M91" authorId="0">
      <text>
        <r>
          <rPr>
            <sz val="8"/>
            <rFont val="Tahoma"/>
            <family val="0"/>
          </rPr>
          <t>Un point important est que ces émissions journalières sont relativement indépendantes du poids du fret transporté. En effet, si le bateau est vide ou faiblement chargé, il va remplir ses ballasts d'eau de mer pour augmenter sa stabilité, avec pour résultat que la traînée (c'est à dire le frottement de l'eau de mer sur la coque), qui est croissante avec la surface immergée, sera à peu près identique quel que soit le poids de fret transporté. Or c'est cette traînée qui gouverne, au premier ordre, la consommation du bateau.</t>
        </r>
      </text>
    </comment>
    <comment ref="K92" authorId="0">
      <text>
        <r>
          <rPr>
            <i/>
            <sz val="8"/>
            <rFont val="Tahoma"/>
            <family val="2"/>
          </rPr>
          <t>ou Mille Nautiques</t>
        </r>
      </text>
    </comment>
    <comment ref="K93" authorId="0">
      <text>
        <r>
          <rPr>
            <b/>
            <sz val="8"/>
            <rFont val="Tahoma"/>
            <family val="0"/>
          </rPr>
          <t>1 mille marin = 1,852 km</t>
        </r>
      </text>
    </comment>
    <comment ref="M26" authorId="0">
      <text>
        <r>
          <rPr>
            <i/>
            <sz val="8"/>
            <rFont val="Tahoma"/>
            <family val="2"/>
          </rPr>
          <t>Masse volumique du Kérosène : 0,8 kg/dm3</t>
        </r>
      </text>
    </comment>
    <comment ref="P3" authorId="0">
      <text>
        <r>
          <rPr>
            <i/>
            <sz val="8"/>
            <rFont val="Tahoma"/>
            <family val="2"/>
          </rPr>
          <t>Masse volumique de l'essence  : 0,75 kg/dm3</t>
        </r>
      </text>
    </comment>
    <comment ref="Q3" authorId="0">
      <text>
        <r>
          <rPr>
            <i/>
            <sz val="8"/>
            <rFont val="Tahoma"/>
            <family val="2"/>
          </rPr>
          <t>Masse volumique du diesel : 0,85 kg/dm3</t>
        </r>
      </text>
    </comment>
    <comment ref="R92" authorId="0">
      <text>
        <r>
          <rPr>
            <i/>
            <sz val="8"/>
            <rFont val="Tahoma"/>
            <family val="2"/>
          </rPr>
          <t>Masse volumique du diesel : 0,85 kg/dm3</t>
        </r>
      </text>
    </comment>
    <comment ref="Q92" authorId="0">
      <text>
        <r>
          <rPr>
            <i/>
            <sz val="8"/>
            <rFont val="Tahoma"/>
            <family val="2"/>
          </rPr>
          <t>Masse volumique du fioul lourd : 0,975 kg/dm3</t>
        </r>
      </text>
    </comment>
  </commentList>
</comments>
</file>

<file path=xl/comments6.xml><?xml version="1.0" encoding="utf-8"?>
<comments xmlns="http://schemas.openxmlformats.org/spreadsheetml/2006/main">
  <authors>
    <author>ftraissard</author>
  </authors>
  <commentList>
    <comment ref="B4" authorId="0">
      <text>
        <r>
          <rPr>
            <i/>
            <sz val="10"/>
            <rFont val="Tahoma"/>
            <family val="2"/>
          </rPr>
          <t>Que ce soit dans une centrale à charbon, nucléaire, avec une éolienne ou un barrage, l'électricité est toujours produite à partir d'énergie dite "primaire" (pétrole, gaz, nucléaire, solaire…). Pour calculer le "contenu en équivalent carbone" d'un kWh électrique fourni à l'utilisateur, il est nécessaire, dans l'idéal, de tenir compte :
- de l'énergie primaire utilisée pour faire un kWh en sortie de centrale,
- des émissions amont liées à la mise à disposition de cette énergie primaire à la centrale électrique,
- des émissions qui ont été engendrées par la construction de l'installation de production (qu'il s'agisse d'une centrale produisant en masse ou d'un panneau solaire),
- des pertes en ligne si l'énergie électrique n'est pas produite sur place, car cette énergie perdue a bien entendu conduit à des émissions lors de sa production.
L'électricité est produite avec des énergies primaires qui sont très variables d'un pays d'Europe à un autre. Il en résulte que le "contenu moyen en gaz à effet de serre" d'un kWh en sortie de centrale est très variable d'un pays à l'autre.
Mais il peut aussi y avoir plusieurs producteurs d'électricité dans un même pays, utilisant des sources d'énergie primaire très différentes, et donc proposant de l'électricité avec un "contenu en gaz à effet de serre" très variable pour un même pays. En Grande Bretagne, par exemple, selon le producteur considéré, le kWh en sortie de centrale aura engendré des émissions quasinulles (British Energy, qui n'a que des centrales nucléaires) ou parmi les plus élevées d'Europe (Innogy, qui possède essentiellement des centrales à charbon).</t>
        </r>
        <r>
          <rPr>
            <i/>
            <sz val="8"/>
            <rFont val="Tahoma"/>
            <family val="2"/>
          </rPr>
          <t xml:space="preserve">
</t>
        </r>
      </text>
    </comment>
  </commentList>
</comments>
</file>

<file path=xl/comments7.xml><?xml version="1.0" encoding="utf-8"?>
<comments xmlns="http://schemas.openxmlformats.org/spreadsheetml/2006/main">
  <authors>
    <author>NF</author>
  </authors>
  <commentList>
    <comment ref="B6" authorId="0">
      <text>
        <r>
          <rPr>
            <i/>
            <sz val="10"/>
            <rFont val="Tahoma"/>
            <family val="2"/>
          </rPr>
          <t>Si le plastique est mis en décharge il ne fait l'objet d'aucune réaction chimique particulière (notamment il ne fermente pas). La seule émission liée à ce traitement est son transport.
La seule émission liée à ce traitement est son transport, soit 4 kg équivalent carbone par tonne, toutefois ce poste est marginal au regard des émissions liées à la fabrication du matériau.
Lorsqu'un plastique est mis en décharge, les émissions afférentes seront donc comptabilisées à 4 kg équivalent carbone par tonne.</t>
        </r>
      </text>
    </comment>
    <comment ref="B7" authorId="0">
      <text>
        <r>
          <rPr>
            <i/>
            <sz val="10"/>
            <rFont val="Tahoma"/>
            <family val="2"/>
          </rPr>
          <t>Si les plastiques sont destinés à être incinérés, alors le carbone fossile qu'ils contiennent (car les plastiques sont fabriqués à partir d'hydrocarbures fossiles, donc leur carbone est fossile) est libéré par la combustion et pris en compte.
Pour la combustion seule, le facteur d’émission de 470 kg équivalent carbone par tonne sera appliqué par défaut à tous les plastiques. Il faut également transporter le matériau, ce qui est pris en compte à hauteur de 4 kg équivalent carbone par tonne.
De ce fait, on comptabilisera l'incinération sans valorisation à hauteur de 474 kg équivalent
carbone par tonne.</t>
        </r>
      </text>
    </comment>
    <comment ref="B8" authorId="0">
      <text>
        <r>
          <rPr>
            <i/>
            <sz val="10"/>
            <rFont val="Tahoma"/>
            <family val="2"/>
          </rPr>
          <t>La valorisation consiste à utiliser l'énergie de combustion, soit pour faire de l'électricité, soit pour produire de la vapeur (utilisée ensuite pour du chauffage). 
La manière conventionnelle de prendre en compte cette valorisation est d'estimer les quantités de CO2 que l'on aurait du émettre pour obtenir le même service (chaleur ou électricité) à partir de gaz naturel, puis de retrancher cette quantité de CO2 du total dégagé par la combustion, pour obtenir une émission nette correspondant à la combustion avec valorisation.
Pour cela nous ferons les hypothèses suivantes :
- la majeure partie des installations de récupération sert à faire de l'électricité,
- les émissions de carbone fossile évitées sont celles de la moyenne annuelle et géographique du parc pour la production d'une même quantité d'électricité.</t>
        </r>
      </text>
    </comment>
    <comment ref="B9" authorId="0">
      <text>
        <r>
          <rPr>
            <i/>
            <sz val="10"/>
            <rFont val="Tahoma"/>
            <family val="2"/>
          </rPr>
          <t>Les économies liées au recyclage ne sont pas prises en compte dans la fin de vie, car nous avons, sauf exception, un recyclage en boucle fermée. Une tonne de plastique recyclé est donc comptée à hauteur de son transport jusqu'au centre de traitement des déchets, soit 4 kg équivalent carbone par tonne.</t>
        </r>
      </text>
    </comment>
    <comment ref="E8" authorId="0">
      <text>
        <r>
          <rPr>
            <i/>
            <sz val="10"/>
            <rFont val="Tahoma"/>
            <family val="2"/>
          </rPr>
          <t xml:space="preserve">Economie liée à la valorisation en kg équivalent carbone par kg de plastique incinéré : </t>
        </r>
        <r>
          <rPr>
            <b/>
            <i/>
            <sz val="10"/>
            <rFont val="Tahoma"/>
            <family val="2"/>
          </rPr>
          <t>-0,073</t>
        </r>
        <r>
          <rPr>
            <i/>
            <sz val="10"/>
            <rFont val="Tahoma"/>
            <family val="2"/>
          </rPr>
          <t xml:space="preserve">
0,474 - 0,073 = 0,401</t>
        </r>
      </text>
    </comment>
    <comment ref="B36" authorId="0">
      <text>
        <r>
          <rPr>
            <i/>
            <sz val="10"/>
            <rFont val="Tahoma"/>
            <family val="2"/>
          </rPr>
          <t xml:space="preserve">Si les papiers et cartons sont mis en décharge, ils fermentent, ce qui engendre des émissions de méthane et de CO2. Par ailleurs, une partie du carbone - non fossile, puisque papiers et cartons sont faits avec du bois - est séquestré dans le sol.
Une étude , tenant compte des émissions de méthane et de la séquestration d'une partie du carbone dans les décharges, donne, pour le papier et le carton (jetés secs, mais qui se mouillent au contact d'autres déchets) les valeurs suivantes d'émission de méthane (en équivalent carbone) par tonne de déchets secs : </t>
        </r>
        <r>
          <rPr>
            <b/>
            <i/>
            <sz val="10"/>
            <rFont val="Tahoma"/>
            <family val="2"/>
          </rPr>
          <t>400 pour le papier et 280 pour le carton</t>
        </r>
        <r>
          <rPr>
            <i/>
            <sz val="10"/>
            <rFont val="Tahoma"/>
            <family val="2"/>
          </rPr>
          <t>.</t>
        </r>
      </text>
    </comment>
    <comment ref="B37" authorId="0">
      <text>
        <r>
          <rPr>
            <i/>
            <sz val="10"/>
            <rFont val="Tahoma"/>
            <family val="2"/>
          </rPr>
          <t xml:space="preserve">La valorisation consiste à récupérer le méthane émis par la fermentation des déchets et en faire le même usage que du gaz naturel.
Dans ce cas, il y a deux sources d'économies par rapport à la situation précédente :
- le méthane n'est plus libéré dans l'atmosphère,
- sa combustion peut être utilisée pour fournir de l'énergie.
L'équivalent carbone du méthane net (méthane brut moins séquestration du carbone) produit par une tonne de papier est de 400 kg équivalent carbone. Cela correspond à 69 kg de méthane environ, et suivant le même raisonnement que précédemment (puisque le papier et le carton sont issus de la biomasse) cela permet d'éviter le rejet de CO2 fossile pour 52 kg équivalent carbone.
Par rapport à la mise en décharge sans valorisation, l'économie est donc :
- de 400 kg de C par tonne au titre de la combustion du méthane,
- de 52 kg de C par tonne au titre du CO2 évité pour faire de l'électricité au gaz.
L'équivalent carbone attaché au fait de mettre une tonne de papier dans une décharge avec valorisation du méthane est donc de - 52 kg équivalent carbone par tonne.
</t>
        </r>
        <r>
          <rPr>
            <b/>
            <i/>
            <sz val="10"/>
            <rFont val="Tahoma"/>
            <family val="2"/>
          </rPr>
          <t xml:space="preserve">-0,052 kg équ. C par kg
</t>
        </r>
        <r>
          <rPr>
            <i/>
            <sz val="10"/>
            <rFont val="Tahoma"/>
            <family val="2"/>
          </rPr>
          <t>En ce qui concerne le carton l'économie est, en suivant le même raisonnement, de - 36 kg équivalent carbone par tonne.</t>
        </r>
      </text>
    </comment>
    <comment ref="B38" authorId="0">
      <text>
        <r>
          <rPr>
            <i/>
            <sz val="10"/>
            <rFont val="Tahoma"/>
            <family val="2"/>
          </rPr>
          <t>L'incinération des papiers conduit aussi à des émissions de gaz carbonique. Toutefois la combustion du papier restitue au milieu ambiant du carbone organique, puisque le papier est fait à partir d'arbres (conifères notamment) et de vieux tissus, eux-mêmes en coton.
Par ailleurs, la combustion de bois provenant de forêts dont la superficie reste constante est considérée comme neutre sur le plan climatique, puisque les émissions provenant du bois brûlé ne font que compenser la séquestration de CO2 par les arbres non coupés et la parcelle replantée. Dès lors, la combustion du papier - ou du carton - sera aussi considérée comme neutre sur le plan climatique, puisqu'il s'agit, en quelque sorte, de brûler du bois préalablement transformé en papier. L'incinération du papier sera donc neutre, seul son transport jusqu'à l'incinérateur étant pris en compte, à raison de 4 kg équivalent carbone par tonne de papier ou de carton.</t>
        </r>
      </text>
    </comment>
    <comment ref="B39" authorId="0">
      <text>
        <r>
          <rPr>
            <i/>
            <sz val="10"/>
            <rFont val="Tahoma"/>
            <family val="2"/>
          </rPr>
          <t xml:space="preserve">Economies résultant de la valorisation thermique de l’incinération de papiers et cartons en France. 
Les facteurs d'émission pour l'incinération avec valorisation des papiers et cartons seront la somme de cette valeur négative, et d'un montant de 4 kg équivalent carbone par tonne correspondant au transport.
</t>
        </r>
        <r>
          <rPr>
            <b/>
            <i/>
            <sz val="10"/>
            <rFont val="Tahoma"/>
            <family val="2"/>
          </rPr>
          <t xml:space="preserve">- 26 kg </t>
        </r>
        <r>
          <rPr>
            <i/>
            <sz val="10"/>
            <rFont val="Tahoma"/>
            <family val="2"/>
          </rPr>
          <t xml:space="preserve">équivalent carbone par tonne de papier et </t>
        </r>
        <r>
          <rPr>
            <b/>
            <i/>
            <sz val="10"/>
            <rFont val="Tahoma"/>
            <family val="2"/>
          </rPr>
          <t xml:space="preserve">- 27 kg </t>
        </r>
        <r>
          <rPr>
            <i/>
            <sz val="10"/>
            <rFont val="Tahoma"/>
            <family val="2"/>
          </rPr>
          <t xml:space="preserve">équivalent carbone par tonne de carton économisés par la valorisation
</t>
        </r>
        <r>
          <rPr>
            <b/>
            <i/>
            <sz val="10"/>
            <rFont val="Tahoma"/>
            <family val="2"/>
          </rPr>
          <t>0,004-0,026 = -0,022 (kg equ. C par kg)</t>
        </r>
      </text>
    </comment>
    <comment ref="B47" authorId="0">
      <text>
        <r>
          <rPr>
            <i/>
            <sz val="10"/>
            <rFont val="Tahoma"/>
            <family val="2"/>
          </rPr>
          <t xml:space="preserve">Si les papiers et cartons sont mis en décharge, ils fermentent, ce qui engendre des émissions de méthane et de CO2. Par ailleurs, une partie du carbone - non fossile, puisque papiers et cartons sont faits avec du bois - est séquestré dans le sol.
Une étude , tenant compte des émissions de méthane et de la séquestration d'une partie du carbone dans les décharges, donne, pour le papier et le carton (jetés secs, mais qui se mouillent au contact d'autres déchets) les valeurs suivantes d'émission de méthane (en équivalent carbone) par tonne de déchets secs : </t>
        </r>
        <r>
          <rPr>
            <b/>
            <i/>
            <sz val="10"/>
            <rFont val="Tahoma"/>
            <family val="2"/>
          </rPr>
          <t>400 pour le papier et 280 pour le carton</t>
        </r>
        <r>
          <rPr>
            <i/>
            <sz val="10"/>
            <rFont val="Tahoma"/>
            <family val="2"/>
          </rPr>
          <t>.</t>
        </r>
      </text>
    </comment>
    <comment ref="B48" authorId="0">
      <text>
        <r>
          <rPr>
            <i/>
            <sz val="10"/>
            <rFont val="Tahoma"/>
            <family val="2"/>
          </rPr>
          <t xml:space="preserve">La valorisation consiste à récupérer le méthane émis par la fermentation des déchets et en faire le même usage que du gaz naturel.
Dans ce cas, il y a deux sources d'économies par rapport à la situation précédente :
- le méthane n'est plus libéré dans l'atmosphère,
- sa combustion peut être utilisée pour fournir de l'énergie.
L'équivalent carbone du méthane net (méthane brut moins séquestration du carbone) produit par une tonne de papier est de 400 kg équivalent carbone. Cela correspond à 69 kg de méthane environ, et suivant le même raisonnement que précédemment (puisque le papier et le carton sont issus de la biomasse) cela permet d'éviter le rejet de CO2 fossile pour 52 kg équivalent carbone.
Par rapport à la mise en décharge sans valorisation, l'économie est donc :
- de 400 kg de C par tonne au titre de la combustion du méthane,
- de 52 kg de C par tonne au titre du CO2 évité pour faire de l'électricité au gaz.
L'équivalent carbone attaché au fait de mettre une tonne de papier dans une décharge avec valorisation du méthane est donc de - 52 kg équivalent carbone par tonne.
En ce qui concerne le carton l'économie est, en suivant le même raisonnement, de - 36 kg équivalent carbone par tonne.
</t>
        </r>
        <r>
          <rPr>
            <b/>
            <i/>
            <sz val="10"/>
            <rFont val="Tahoma"/>
            <family val="2"/>
          </rPr>
          <t>-0,036 kg équ. C par kg</t>
        </r>
      </text>
    </comment>
    <comment ref="B49" authorId="0">
      <text>
        <r>
          <rPr>
            <i/>
            <sz val="10"/>
            <rFont val="Tahoma"/>
            <family val="2"/>
          </rPr>
          <t>L'incinération des papiers conduit aussi à des émissions de gaz carbonique. Toutefois la combustion du papier restitue au milieu ambiant du carbone organique, puisque le papier est fait à partir d'arbres (conifères notamment) et de vieux tissus, eux-mêmes en coton.
Par ailleurs, la combustion de bois provenant de forêts dont la superficie reste constante est considérée comme neutre sur le plan climatique, puisque les émissions provenant du bois brûlé ne font que compenser la séquestration de CO2 par les arbres non coupés et la parcelle replantée. Dès lors, la combustion du papier - ou du carton - sera aussi considérée comme neutre sur le plan climatique, puisqu'il s'agit, en quelque sorte, de brûler du bois préalablement transformé en papier. L'incinération du papier sera donc neutre, seul son transport jusqu'à l'incinérateur étant pris en compte, à raison de 4 kg équivalent carbone par tonne de papier ou de carton.</t>
        </r>
      </text>
    </comment>
    <comment ref="B50" authorId="0">
      <text>
        <r>
          <rPr>
            <i/>
            <sz val="10"/>
            <rFont val="Tahoma"/>
            <family val="2"/>
          </rPr>
          <t xml:space="preserve">Economies résultant de la valorisation thermique de l’incinération de papiers et cartons en France. 
Les facteurs d'émission pour l'incinération avec valorisation des papiers et cartons seront la somme de cette valeur négative, et d'un montant de 4 kg équivalent carbone par tonne correspondant au transport.
</t>
        </r>
        <r>
          <rPr>
            <b/>
            <i/>
            <sz val="10"/>
            <rFont val="Tahoma"/>
            <family val="2"/>
          </rPr>
          <t xml:space="preserve">- 26 kg </t>
        </r>
        <r>
          <rPr>
            <i/>
            <sz val="10"/>
            <rFont val="Tahoma"/>
            <family val="2"/>
          </rPr>
          <t xml:space="preserve">équivalent carbone par tonne de papier et </t>
        </r>
        <r>
          <rPr>
            <b/>
            <i/>
            <sz val="10"/>
            <rFont val="Tahoma"/>
            <family val="2"/>
          </rPr>
          <t xml:space="preserve">- 27 kg </t>
        </r>
        <r>
          <rPr>
            <i/>
            <sz val="10"/>
            <rFont val="Tahoma"/>
            <family val="2"/>
          </rPr>
          <t xml:space="preserve">équivalent carbone par tonne de carton économisés par la valorisation
</t>
        </r>
        <r>
          <rPr>
            <b/>
            <i/>
            <sz val="10"/>
            <rFont val="Tahoma"/>
            <family val="2"/>
          </rPr>
          <t>0,004-0,027 = -0,023 (kg equ. C par kg)</t>
        </r>
      </text>
    </comment>
  </commentList>
</comments>
</file>

<file path=xl/sharedStrings.xml><?xml version="1.0" encoding="utf-8"?>
<sst xmlns="http://schemas.openxmlformats.org/spreadsheetml/2006/main" count="787" uniqueCount="448">
  <si>
    <t>kg</t>
  </si>
  <si>
    <t>kg équ. C</t>
  </si>
  <si>
    <t>Acier et métaux ferreux (seulement minerai d'extraction)</t>
  </si>
  <si>
    <t>Aluminium produit à partir de bauxite (extraction)</t>
  </si>
  <si>
    <t>Plomb</t>
  </si>
  <si>
    <t>Zinc</t>
  </si>
  <si>
    <t>Nickel</t>
  </si>
  <si>
    <t>PLASTIQUES</t>
  </si>
  <si>
    <t>Polychlorure de vinyle (PVC)</t>
  </si>
  <si>
    <t>Polystyrène (PS)</t>
  </si>
  <si>
    <t>Polyéthylène terephtalate (PET - amorphe)</t>
  </si>
  <si>
    <t>Polyéthylène terephtalate (PET - qualité bouteille)</t>
  </si>
  <si>
    <t>Polyéthylène terephtalate (PET - moyenne)</t>
  </si>
  <si>
    <t>Acier et métaux ferreux (recyclé à 100 %)</t>
  </si>
  <si>
    <t>Aluminium (recyclé à 100 %)</t>
  </si>
  <si>
    <t>Polyéthylène terephtalate (PET - en film après transformation)</t>
  </si>
  <si>
    <t>Moyenne pour les plastiques</t>
  </si>
  <si>
    <t>Verre plat</t>
  </si>
  <si>
    <t>Verre technique</t>
  </si>
  <si>
    <t>Laine de verre</t>
  </si>
  <si>
    <t>Verre recyclé (hors bouteilles)</t>
  </si>
  <si>
    <t>Verre bouteille</t>
  </si>
  <si>
    <t>Moyenne pour les verres</t>
  </si>
  <si>
    <t>Verre vert</t>
  </si>
  <si>
    <t>Verre brun</t>
  </si>
  <si>
    <t>Verre incolore</t>
  </si>
  <si>
    <t>Papier (papier journal, ramettes…)</t>
  </si>
  <si>
    <t>Carton</t>
  </si>
  <si>
    <t>Papier (essuie-tout, serviettes en papier)</t>
  </si>
  <si>
    <t>Extraction et production de matières premières</t>
  </si>
  <si>
    <t>Bilan 
Carbone</t>
  </si>
  <si>
    <t>Matières 
premières</t>
  </si>
  <si>
    <t>Masse</t>
  </si>
  <si>
    <t>Matières
premières</t>
  </si>
  <si>
    <t>Taux de
recyclage</t>
  </si>
  <si>
    <t>%</t>
  </si>
  <si>
    <t xml:space="preserve">ratio : </t>
  </si>
  <si>
    <t>kg équ. C / kg matières premières</t>
  </si>
  <si>
    <t>Fabrication des produits</t>
  </si>
  <si>
    <t>Epoxyde (EP - Epoxy)</t>
  </si>
  <si>
    <t>Composants électroniques (CMS) [dont matières premières]</t>
  </si>
  <si>
    <t>Composants électroniques (composants discrets) [dont matières premières]</t>
  </si>
  <si>
    <t>cm²</t>
  </si>
  <si>
    <t>cm3</t>
  </si>
  <si>
    <t>Acrylonitrile butadiène styrène (ABS - moyenne)</t>
  </si>
  <si>
    <t>Acrylonitrile butadiène styrène (ABS - recyclé à 100 %)</t>
  </si>
  <si>
    <t>Polyéthylène terephtalate (PET - recyclé à 100 %)</t>
  </si>
  <si>
    <t>Acier et métaux ferreux (extraction + recyclé à 50 %)</t>
  </si>
  <si>
    <t>Acier et métaux ferreux (extraction + recyclé à X %)</t>
  </si>
  <si>
    <t>Aluminium (extraction + recyclé à X %)</t>
  </si>
  <si>
    <t>Réalisation complète, bobinage, montage... [dont matières premières]</t>
  </si>
  <si>
    <t>PRODUCTION DES CARTES ELECTRONIQUES (moyennes)</t>
  </si>
  <si>
    <t>MOULAGE DES PIECES MECANIQUES (moyennes)</t>
  </si>
  <si>
    <t>PRODUCTION DES MOTEURS ELECTRIQUES (moyenne)</t>
  </si>
  <si>
    <t>Total :</t>
  </si>
  <si>
    <t>Volume 
d'un élément</t>
  </si>
  <si>
    <t>Accumulateur Ni-MH (Nickel-métal hydrure) rechargeable [dont matières premières]</t>
  </si>
  <si>
    <t>Accumulateur Ni-Cd (Nickel-cadmium) rechargeable [dont matières premières]</t>
  </si>
  <si>
    <t>Accumulateur Ni-Zn (Nickel-zinc) rechargeable [dont matières premières]</t>
  </si>
  <si>
    <t>Batterie au plomb [dont matières premières]</t>
  </si>
  <si>
    <t>Pile alcaline (non rechargeable) [dont matières premières]</t>
  </si>
  <si>
    <t>Pile saline carbone-zinc (non rechargeable) [dont matières premières]</t>
  </si>
  <si>
    <t>Pile lithium (non rechargeable) [dont matières premières]</t>
  </si>
  <si>
    <t>Nombre de 
couches</t>
  </si>
  <si>
    <t>Nombre 
d'éléments</t>
  </si>
  <si>
    <t>Accumulateur Li-ion (Lithium ion) rechargeable [dont matières premières]</t>
  </si>
  <si>
    <t>Accumulateur Li-Po (Lithium polymère) rechargeable [dont matières premières]</t>
  </si>
  <si>
    <t>Fabrication</t>
  </si>
  <si>
    <t>PRODUCTION DES BATTERIES, PILES, ACCUMULATEURS ... (moyennes)</t>
  </si>
  <si>
    <t>Diamètre primitif</t>
  </si>
  <si>
    <t>mm</t>
  </si>
  <si>
    <t>Pignon ou roue d'engrenage 12 [hors matières premières]</t>
  </si>
  <si>
    <t>Pignon ou roue d'engrenage 13 [hors matières premières]</t>
  </si>
  <si>
    <t>Pignon ou roue d'engrenage 14 [hors matières premières]</t>
  </si>
  <si>
    <t>Pignon ou roue d'engrenage 15 [hors matières premières]</t>
  </si>
  <si>
    <t>Pignon ou roue d'engrenage 16 [hors matières premières]</t>
  </si>
  <si>
    <t>Couronne 1 [hors matières premières]</t>
  </si>
  <si>
    <t>Couronne 2 [hors matières premières]</t>
  </si>
  <si>
    <t>Distribution des produits</t>
  </si>
  <si>
    <t>TRANSPORT DE MARCHANDISES PAR CAMIONS OU CAMIONNETTES</t>
  </si>
  <si>
    <t>Distance</t>
  </si>
  <si>
    <t>km</t>
  </si>
  <si>
    <t>g équ. C 
par tonne.km</t>
  </si>
  <si>
    <t>tonnes</t>
  </si>
  <si>
    <t>Moyenne du 
PTAC de 
la catégorie</t>
  </si>
  <si>
    <t>Moyenne de 
la charge utile 
maximale</t>
  </si>
  <si>
    <t>Poids moyen 
à vide</t>
  </si>
  <si>
    <t>Impact de la 
fabrication 
du véhicule</t>
  </si>
  <si>
    <t>g équ. C/km</t>
  </si>
  <si>
    <t>Consommation moyenne du véhicule</t>
  </si>
  <si>
    <t>Impact de la 
consommation 
du véhicule</t>
  </si>
  <si>
    <t>litres/100 km</t>
  </si>
  <si>
    <t>Classes de PTAC</t>
  </si>
  <si>
    <t>21,1 à 32,6 tonnes</t>
  </si>
  <si>
    <t>&lt; 1,5 tonnes essence</t>
  </si>
  <si>
    <t>&lt; 1,5 tonnes diesel</t>
  </si>
  <si>
    <t>1,5 à 2,5 tonnes essence</t>
  </si>
  <si>
    <t>1,5 à 2,5 tonnes diesel</t>
  </si>
  <si>
    <t>2,51 à 3,5 tonnes essence</t>
  </si>
  <si>
    <t>2,51 à 3,5 tonnes diesel</t>
  </si>
  <si>
    <t>3,5 tonnes</t>
  </si>
  <si>
    <t>3,51 à 5 tonnes</t>
  </si>
  <si>
    <t>5,1 à 6 tonnes</t>
  </si>
  <si>
    <t>6,1 à 10,9 tonnes</t>
  </si>
  <si>
    <t>11 à 19 tonnes</t>
  </si>
  <si>
    <t>19,1 à 21 tonnes</t>
  </si>
  <si>
    <t>Tracteurs routiers (ensembles articulés - "semi-remorques")</t>
  </si>
  <si>
    <t>Moyenne de 
la durée de 
vie du véhicule</t>
  </si>
  <si>
    <t>TRANSPORT AERIEN DE MARCHANDISES</t>
  </si>
  <si>
    <t>Quantité maximale 
de carburant</t>
  </si>
  <si>
    <t>litres</t>
  </si>
  <si>
    <t>Type d'avion</t>
  </si>
  <si>
    <t>Catégorie</t>
  </si>
  <si>
    <t>Court-courrier</t>
  </si>
  <si>
    <t>Airbus A318</t>
  </si>
  <si>
    <t>Airbus A319</t>
  </si>
  <si>
    <t>Airbus A320</t>
  </si>
  <si>
    <t>Airbus A300F</t>
  </si>
  <si>
    <t>Airbus A310</t>
  </si>
  <si>
    <t>Airbus A330-200</t>
  </si>
  <si>
    <t>Airbus A340-600</t>
  </si>
  <si>
    <t>Airbus A380</t>
  </si>
  <si>
    <t>Boeing B747-400</t>
  </si>
  <si>
    <t>Autonomie 
(pour la charge 
emportée)</t>
  </si>
  <si>
    <t>Fret</t>
  </si>
  <si>
    <t>kg équ. C 
par tonne.km</t>
  </si>
  <si>
    <t>Moyen-courrier</t>
  </si>
  <si>
    <t>Long-courrier</t>
  </si>
  <si>
    <t>(hors fabrication de l'avion)</t>
  </si>
  <si>
    <t>Pays</t>
  </si>
  <si>
    <t>Allemagne</t>
  </si>
  <si>
    <t>Autriche</t>
  </si>
  <si>
    <t>Belgique</t>
  </si>
  <si>
    <t>Danemark</t>
  </si>
  <si>
    <t>Espagne</t>
  </si>
  <si>
    <t>Finlande</t>
  </si>
  <si>
    <t>France</t>
  </si>
  <si>
    <t>Grèce</t>
  </si>
  <si>
    <t>Irlande</t>
  </si>
  <si>
    <t>Italie</t>
  </si>
  <si>
    <t>Luxembourg</t>
  </si>
  <si>
    <t>Norvège</t>
  </si>
  <si>
    <t>Pays-Bas</t>
  </si>
  <si>
    <t>Portugal</t>
  </si>
  <si>
    <t>Royaume-Uni</t>
  </si>
  <si>
    <t>Suède</t>
  </si>
  <si>
    <t>Suisse</t>
  </si>
  <si>
    <t>Hongrie</t>
  </si>
  <si>
    <t>Bulgarie</t>
  </si>
  <si>
    <t>République Tchèque</t>
  </si>
  <si>
    <t>Slovaquie</t>
  </si>
  <si>
    <t>Slovénie</t>
  </si>
  <si>
    <t>Roumanie</t>
  </si>
  <si>
    <t>Lettonie</t>
  </si>
  <si>
    <t>Estonie</t>
  </si>
  <si>
    <t>Pologne</t>
  </si>
  <si>
    <t>Consommation énergétique pour la traction des trains [% diesel + % électrique compris] et tient compte de la manière dont le pays produit son électricité) (hors fabrication des infrastructures et hors fabrication du matériel roulant)</t>
  </si>
  <si>
    <t>www.viamichelin.fr</t>
  </si>
  <si>
    <t>www.mappy.fr</t>
  </si>
  <si>
    <t>www.infotrafic.fr</t>
  </si>
  <si>
    <t xml:space="preserve">Calcul des distances routières en Europe : </t>
  </si>
  <si>
    <t xml:space="preserve">Calcul des trajets aériens  : </t>
  </si>
  <si>
    <t>www.amadeus.net</t>
  </si>
  <si>
    <t>www.levoyageur.net/distan.php</t>
  </si>
  <si>
    <t>(hypothèse de distances sensiblement identiques aux distances routières)</t>
  </si>
  <si>
    <t xml:space="preserve">www.abm.fr/avion/gvacodapt.html </t>
  </si>
  <si>
    <t xml:space="preserve">http://landings.com/_landings/pages/search/rel-calc.html </t>
  </si>
  <si>
    <t>pour la détermination des codes IATA des aéroports :</t>
  </si>
  <si>
    <t>pour le calcul des distances entre aéroports à partir des codes IATA ou des noms de villes :</t>
  </si>
  <si>
    <t>(fabrication du véhicule + consommation du véhicule 
pour un pourcentage moyen de charge en Europe)</t>
  </si>
  <si>
    <t>TRANSPORT MARITIME DE MARCHANDISES</t>
  </si>
  <si>
    <t>Porte-conteneurs : capacité "équivalent vingt pied (evp)"</t>
  </si>
  <si>
    <t>(équivalent au nombre de conteneurs car 20 pieds = 6 m = la longueur d'un conteneur donc 1 evp = 6 x 2,44 (largeur) x 2,5 (hauteur) = 36,6 m3)</t>
  </si>
  <si>
    <t>500 (evp ou conteneurs)</t>
  </si>
  <si>
    <t>Capacité</t>
  </si>
  <si>
    <t>m3</t>
  </si>
  <si>
    <t>Vitesse commerciale</t>
  </si>
  <si>
    <t>nœuds</t>
  </si>
  <si>
    <t>Consommation en mer de fioul lourd</t>
  </si>
  <si>
    <t>tonnes/jour</t>
  </si>
  <si>
    <t>Facteurs
d'emmision</t>
  </si>
  <si>
    <t>Facteur
d'emmision</t>
  </si>
  <si>
    <t>Consommation tertiaire de gasoil</t>
  </si>
  <si>
    <t>tonnes équ. C</t>
  </si>
  <si>
    <t>Emissions par jour de mer</t>
  </si>
  <si>
    <t>Volume</t>
  </si>
  <si>
    <t>Parcours quotidien</t>
  </si>
  <si>
    <t>Durée du trajet</t>
  </si>
  <si>
    <t>jours</t>
  </si>
  <si>
    <t>Vitesse 
commerciale</t>
  </si>
  <si>
    <t>km/h</t>
  </si>
  <si>
    <t>Nautical Miles</t>
  </si>
  <si>
    <t>(consommation énergétique) (hors fabrication des navires car négligeable par rapport à la consommation)</t>
  </si>
  <si>
    <t xml:space="preserve">Calcul de la distance du trajet entre les ports (en mille marin) : </t>
  </si>
  <si>
    <t>(prise en compte, bien entendu, du contournement des continents)</t>
  </si>
  <si>
    <t>Consommation 
de fioul lourd</t>
  </si>
  <si>
    <t>Consommation 
de diesel</t>
  </si>
  <si>
    <t>Consommation 
de Kérosène</t>
  </si>
  <si>
    <t>Mille Marin</t>
  </si>
  <si>
    <t>Consommation 
d'essence</t>
  </si>
  <si>
    <t>Distribution</t>
  </si>
  <si>
    <t>Polypropylène haute densité (PP hd)</t>
  </si>
  <si>
    <t>Polypropylène haute densité (PP hd - recyclé à 100 %)</t>
  </si>
  <si>
    <t>Polypropylène basse densité (PP bd)</t>
  </si>
  <si>
    <t>Polypropylène basse densité (PP bd - recyclé à 100 %)</t>
  </si>
  <si>
    <t>Utilisation des produits</t>
  </si>
  <si>
    <t>Utilisation du produit</t>
  </si>
  <si>
    <t>CONSOMMATION ELECTRIQUE LORS DE L'UTILISATION (MOYENNES)</t>
  </si>
  <si>
    <t>(bilan de la consommation électrique sur la durée de vie totale du produit suivant le pays)</t>
  </si>
  <si>
    <t>Moyenne européenne</t>
  </si>
  <si>
    <t>USA</t>
  </si>
  <si>
    <t>Japon</t>
  </si>
  <si>
    <t>kg équ. C 
par kWh</t>
  </si>
  <si>
    <t>Consommation annuelle</t>
  </si>
  <si>
    <t>Consommation journalière</t>
  </si>
  <si>
    <t>kWh</t>
  </si>
  <si>
    <t>Durée de vie</t>
  </si>
  <si>
    <t>années</t>
  </si>
  <si>
    <t>Wh</t>
  </si>
  <si>
    <t>Appareil</t>
  </si>
  <si>
    <t>Réfrigérateur</t>
  </si>
  <si>
    <t>Réfrigérateur-congélateur</t>
  </si>
  <si>
    <t>Congélateur</t>
  </si>
  <si>
    <t>Congélateur américain</t>
  </si>
  <si>
    <t>Lave-linge</t>
  </si>
  <si>
    <t>Lave-vaisselle</t>
  </si>
  <si>
    <t>Sèche-linge</t>
  </si>
  <si>
    <t>TV</t>
  </si>
  <si>
    <t>Magnétoscope</t>
  </si>
  <si>
    <t>Décodeur Canal+</t>
  </si>
  <si>
    <t>Démodulateur d'antenne parabolique</t>
  </si>
  <si>
    <t>HiFi</t>
  </si>
  <si>
    <t>Répondeur téléphonique</t>
  </si>
  <si>
    <t>Téléphone répondeur</t>
  </si>
  <si>
    <t>Téléphone sans fil</t>
  </si>
  <si>
    <t>Aspirateur</t>
  </si>
  <si>
    <t>Eclairage</t>
  </si>
  <si>
    <t>Lampe halogène</t>
  </si>
  <si>
    <t>Fer à repasser</t>
  </si>
  <si>
    <t>Aquarium à poissons exotiques</t>
  </si>
  <si>
    <t>Chaudière murale mal asservie</t>
  </si>
  <si>
    <t>Pompe de piscine</t>
  </si>
  <si>
    <t>Ventillation mécanique contrôlée individuelle</t>
  </si>
  <si>
    <t>Totalité des consommations électriques en cuisine</t>
  </si>
  <si>
    <t>Four de cuisine</t>
  </si>
  <si>
    <t>Cuisinière</t>
  </si>
  <si>
    <t>Plaques vitrocéramique</t>
  </si>
  <si>
    <t>Table à induction</t>
  </si>
  <si>
    <t>Plaques de cuisson (toutes types confondus)</t>
  </si>
  <si>
    <t>Micro-ondes</t>
  </si>
  <si>
    <t>Mini-four</t>
  </si>
  <si>
    <t>Cafetière</t>
  </si>
  <si>
    <t>Bouilloire</t>
  </si>
  <si>
    <t>Friteuse</t>
  </si>
  <si>
    <t>Grille-pain</t>
  </si>
  <si>
    <t>Cuiseur vapeur</t>
  </si>
  <si>
    <t>Consommation annuelle moyenne</t>
  </si>
  <si>
    <t>ORDRES DE GRANDEUR DE CONSOMMATIONS 
ELECTRIQUES DE DIFFERENTS APPAREILS EN France</t>
  </si>
  <si>
    <t>kg équ. CO2</t>
  </si>
  <si>
    <t>ORDRE DE GRANDEUR POUR LA FABRICATION D'UNE VOITURE</t>
  </si>
  <si>
    <t>(matières premières comprises)</t>
  </si>
  <si>
    <t>1 tonne de voiture = 1,5 tonne équivalent carbone (équ. C)</t>
  </si>
  <si>
    <t>COMBUSTIBLES LIQUIDES</t>
  </si>
  <si>
    <t>Gaz de Pétrole Liquéfié (GPL)</t>
  </si>
  <si>
    <t>Essence (Supercarburant SP95, Supercarburant SP98)</t>
  </si>
  <si>
    <t>Gazole (diesel)</t>
  </si>
  <si>
    <t>Fioul lourd</t>
  </si>
  <si>
    <t>Fioul domestique</t>
  </si>
  <si>
    <t>Carburéacteur (Kérosène)</t>
  </si>
  <si>
    <t>kg équ. C 
par kg</t>
  </si>
  <si>
    <t>Gaz naturel</t>
  </si>
  <si>
    <t>Energies fossiles</t>
  </si>
  <si>
    <t>(émissions provenant de l'extraction du pétrole brut, du raffinage à partir du pétrole brut, du stockage et du transport) 
[hors consommation (combustion) du produit fini]</t>
  </si>
  <si>
    <t>(émissions provenant de l'extraction, du traitement, du transport et des pertes du réseau de transport et de distribution) 
[hors consommation (combustion) du produit fini]</t>
  </si>
  <si>
    <t>COMBUSTIBLES SOLIDES</t>
  </si>
  <si>
    <t>(émissions provenant de l'énergie d'extraction, des fuites de CH4 (équ. CO2) et du transport) 
[hors consommation (combustion) du produit fini]</t>
  </si>
  <si>
    <t>Charbon à coke (PCS&gt;23 865 kJ/kg)</t>
  </si>
  <si>
    <t>Houille (PCS&gt;23 865 kJ/kg)</t>
  </si>
  <si>
    <t>Agglomérés (provenant de houille ou sous bitumeux)</t>
  </si>
  <si>
    <t>Charbon sous bitumeux (17 435 kJ/kg&lt;PCS&lt;23 865 kJ/kg)</t>
  </si>
  <si>
    <t>Lignite (PCS&lt;17 435 kJ/kg)</t>
  </si>
  <si>
    <t>Briquette de lignite</t>
  </si>
  <si>
    <t>Coke de houille</t>
  </si>
  <si>
    <t>Coke de lignite</t>
  </si>
  <si>
    <t>Coke de pétrole</t>
  </si>
  <si>
    <t>Tourbe</t>
  </si>
  <si>
    <t>Schistes</t>
  </si>
  <si>
    <t>Naphta</t>
  </si>
  <si>
    <t>Energies fossiles (combustibles fossiles) [hors combustion]</t>
  </si>
  <si>
    <t>Energies fossiles (combustibles fossiles) [avec combustion]</t>
  </si>
  <si>
    <r>
      <t xml:space="preserve">(émissions provenant de l'extraction du pétrole brut, du raffinage à partir du pétrole brut, du stockage et du transport) 
</t>
    </r>
    <r>
      <rPr>
        <b/>
        <i/>
        <sz val="10"/>
        <rFont val="Verdana"/>
        <family val="2"/>
      </rPr>
      <t>[+ combustion du produit fini]</t>
    </r>
  </si>
  <si>
    <r>
      <t xml:space="preserve">(émissions provenant de l'extraction, du traitement, du transport et des pertes du réseau de transport et de distribution) 
</t>
    </r>
    <r>
      <rPr>
        <b/>
        <i/>
        <sz val="10"/>
        <rFont val="Verdana"/>
        <family val="2"/>
      </rPr>
      <t>[+ combustion du produit fini]</t>
    </r>
  </si>
  <si>
    <r>
      <t xml:space="preserve">(émissions provenant de l'énergie d'extraction, des fuites de CH4 (équ. CO2) et du transport) 
</t>
    </r>
    <r>
      <rPr>
        <b/>
        <i/>
        <sz val="10"/>
        <rFont val="Verdana"/>
        <family val="2"/>
      </rPr>
      <t>[+ combustion du produit fini]</t>
    </r>
  </si>
  <si>
    <t>COMBUSTIBLES GAZEUX</t>
  </si>
  <si>
    <t>Surface totale
 des cartes</t>
  </si>
  <si>
    <t>Volume total
des moteurs</t>
  </si>
  <si>
    <t>Mise en décharge sans valorisation</t>
  </si>
  <si>
    <t>Mise en décharge avec valorisation</t>
  </si>
  <si>
    <t>Incinération sans valorisation</t>
  </si>
  <si>
    <t>Incinération avec valorisation</t>
  </si>
  <si>
    <t>Recyclage des plastiques</t>
  </si>
  <si>
    <t>Mise en décharge</t>
  </si>
  <si>
    <t>Valorisation des emballages et des produits usagés en France</t>
  </si>
  <si>
    <t>Recyclage des métaux</t>
  </si>
  <si>
    <t>VERRES, MATERIAUX DE CONSTRUCTION</t>
  </si>
  <si>
    <t>Recyclage des matériaux</t>
  </si>
  <si>
    <t>Valorisation du produit en fin de vie</t>
  </si>
  <si>
    <t>Produit en fin de vie</t>
  </si>
  <si>
    <t>Fin de vie des produits (recyclés ou non)</t>
  </si>
  <si>
    <t>PAPIERS</t>
  </si>
  <si>
    <t>(seul le transport jusqu'au lieu de traitement ou décharge est pris en compte)</t>
  </si>
  <si>
    <t>CARTONS</t>
  </si>
  <si>
    <t>Liées directement à la distribution (transports)</t>
  </si>
  <si>
    <t>ORDRE DE GRANDEUR POUR LA FABRICATION D'UN ORDINATEUR DE BUREAU A TUBE CATHODIQUE</t>
  </si>
  <si>
    <t>Composants électroniques</t>
  </si>
  <si>
    <t>Circuit imprimé</t>
  </si>
  <si>
    <t>Tube cathodique</t>
  </si>
  <si>
    <t>Matériaux pour le boîtier de l'unité centrale</t>
  </si>
  <si>
    <t>Matériaux pour le boîtier de l'écran</t>
  </si>
  <si>
    <t>Production des produits chimiques</t>
  </si>
  <si>
    <t>Production des galettes de silicium</t>
  </si>
  <si>
    <t>ORDRE DE GRANDEUR POUR LA FABRICATION D'UN ORDINATEUR DE BUREAU A ECRAN PLAT</t>
  </si>
  <si>
    <t>Ecran plat</t>
  </si>
  <si>
    <t>Recyclage [dont extraction et traitement des produits dangereux et non dangereux]</t>
  </si>
  <si>
    <t xml:space="preserve">Un ménage français émet en moyenne 16,4 tonnes de CO2 par an.
Il est, dans ses usages privés de l’énergie, directement reponsable d’une partie des 
émissions de CO2 dans l’atmosphère. 
Lorsqu’il utilise son véhicule pour se déplacer, lorsqu’il se chauffe, éclaire son logement, 
fait fonctionner ses appareils électroménagers, il participe clairement aux rejets de CO2 
dans l’atmosphère. </t>
  </si>
  <si>
    <t xml:space="preserve">CO2 émis par le cycle de vie du produit :  </t>
  </si>
  <si>
    <t>m2</t>
  </si>
  <si>
    <t>EMISSIONS DE L'EOLIEN ET DU PHOTOVOLTAIQUE</t>
  </si>
  <si>
    <t>Type</t>
  </si>
  <si>
    <t>Production</t>
  </si>
  <si>
    <t>Eoliennes</t>
  </si>
  <si>
    <t>Panneaux photovoltaIques</t>
  </si>
  <si>
    <t>(émissions en fonction de l'analyse du cycle de vie (ACV)) 
[fabrication comprise]</t>
  </si>
  <si>
    <t>http://www.generationsfutures.com/compenser.html</t>
  </si>
  <si>
    <t xml:space="preserve">http://alba.jrc.it/vgas/virtualibrary/mainmenufr.swf </t>
  </si>
  <si>
    <t xml:space="preserve">Nombre de grands arbres nécessaires pour absorber 
une quantité équivalente de carbone en une année :  </t>
  </si>
  <si>
    <t xml:space="preserve">Surface de forêt nécessaire pour absorber 
la même quantité de carbone en une année :  </t>
  </si>
  <si>
    <t>http://alba.jrc.it/vgas/</t>
  </si>
  <si>
    <t>ORDRE DE GRANDEUR D'EMISSION DE CO2 D'UN MENAGE Français</t>
  </si>
  <si>
    <t xml:space="preserve">http://www.effet2serre.com/index.htm </t>
  </si>
  <si>
    <t>Site générations futures :</t>
  </si>
  <si>
    <t>Site Effet de serre :</t>
  </si>
  <si>
    <t>SITES INTERNET POUR ALLER PLUS LOIN SUR LES SOLUTIONS DE REDUCTION D'EMISSIONS DE GAZ CARBONIQUE (CO2)</t>
  </si>
  <si>
    <t>Site de V-GAS - Réalité virtuelle : un jeu pour contrôler son "empreinte carbone" :</t>
  </si>
  <si>
    <t>Bibliothèque de V-GAS :</t>
  </si>
  <si>
    <t>(masse moyenne d'un ordinateur de bureau à tube cathodique : 28 kg)</t>
  </si>
  <si>
    <t>METAUX (ACIER, ALUMINIUM, CUIVRE, ZINC, NICKEL, PLOMB...)</t>
  </si>
  <si>
    <t>Nombre de dents ou filets</t>
  </si>
  <si>
    <t xml:space="preserve">Vis sans fin 2 [hors matières premières] </t>
  </si>
  <si>
    <t>Production pièces en métal (hors aluminium) [hors matière première]</t>
  </si>
  <si>
    <t>Production pièces en plastique [hors matière première]</t>
  </si>
  <si>
    <t>Production pièces en aluminium (ou zinc + aluminium) [hors matière première]</t>
  </si>
  <si>
    <t>Cuivre (laiton, bronze)</t>
  </si>
  <si>
    <t>(usinage, pliage, emboutissage, découpage, soudage…)</t>
  </si>
  <si>
    <t>FABRICATION DES PIECES MECANIQUES 
[hors pignons, roues, vis sans fin et roulements] (moyennes)</t>
  </si>
  <si>
    <t>PCB (Printed Circuit Board) : circuit imprimé (pistes simple face) [dont Epoxy]</t>
  </si>
  <si>
    <t>PCB (Printed Circuit Board) : circuit imprimé (pistes double face) [dont Epoxy]</t>
  </si>
  <si>
    <t>PCB (Printed Circuit Board) : circuit imprimé (pistes multi-couches) [dont Epoxy]</t>
  </si>
  <si>
    <t>Moulage toutes pièces en plastique [hors matière première]</t>
  </si>
  <si>
    <t>Moulage toutes pièces en aluminium (ou zinc + aluminium) [hors matière première]</t>
  </si>
  <si>
    <t>Moulage toutes pièces en métal (hors aluminium) [hors matière première]</t>
  </si>
  <si>
    <t>Diamètre</t>
  </si>
  <si>
    <t>Largeur</t>
  </si>
  <si>
    <t>FABRICATION DES ROULEMENTS (moyennes)</t>
  </si>
  <si>
    <t>Roulement 1</t>
  </si>
  <si>
    <t>Roulement 2</t>
  </si>
  <si>
    <t>Roulement 3</t>
  </si>
  <si>
    <t>Roulement 4</t>
  </si>
  <si>
    <t>Roulement 5</t>
  </si>
  <si>
    <t>Roulement 6</t>
  </si>
  <si>
    <t>Roulement 7</t>
  </si>
  <si>
    <t>Roulement 8</t>
  </si>
  <si>
    <t>Roulement 9</t>
  </si>
  <si>
    <t>Roulement 10</t>
  </si>
  <si>
    <t>Pignon ou roue d'engrenage 17 [hors matières premières]</t>
  </si>
  <si>
    <t>Pignon ou roue d'engrenage 18 [hors matières premières]</t>
  </si>
  <si>
    <t>Pignon ou roue d'engrenage 19 [hors matières premières]</t>
  </si>
  <si>
    <t>Pignon ou roue d'engrenage 20 [hors matières premières]</t>
  </si>
  <si>
    <t xml:space="preserve">Vis sans fin 3 [hors matières premières] </t>
  </si>
  <si>
    <t xml:space="preserve">Vis sans fin 4 [hors matières premières] </t>
  </si>
  <si>
    <t>cm</t>
  </si>
  <si>
    <t>Roulement 11</t>
  </si>
  <si>
    <t>Roulement 12</t>
  </si>
  <si>
    <t>Roulement 13</t>
  </si>
  <si>
    <t>Roulement 14</t>
  </si>
  <si>
    <t>Roulement 15</t>
  </si>
  <si>
    <t>Roulement 16</t>
  </si>
  <si>
    <t>Roulement 17</t>
  </si>
  <si>
    <t>Roulement 18</t>
  </si>
  <si>
    <t>Roulement 19</t>
  </si>
  <si>
    <t>Roulement 20</t>
  </si>
  <si>
    <t>PLASTIQUES (moyennes)</t>
  </si>
  <si>
    <t>METAUX (moyennes)</t>
  </si>
  <si>
    <t>VERRES (moyennes)</t>
  </si>
  <si>
    <t>PAPIERS ET CARTONS (moyennes)</t>
  </si>
  <si>
    <t>Pignon ou roue d'engrenage 21 [hors matières premières]</t>
  </si>
  <si>
    <t>Pignon ou roue d'engrenage 22 [hors matières premières]</t>
  </si>
  <si>
    <t>Pignon ou roue d'engrenage 23 [hors matières premières]</t>
  </si>
  <si>
    <t>Pignon ou roue d'engrenage 24 [hors matières premières]</t>
  </si>
  <si>
    <t>Pignon ou roue d'engrenage 25 [hors matières premières]</t>
  </si>
  <si>
    <t>Pignon ou roue d'engrenage 26 [hors matières premières]</t>
  </si>
  <si>
    <t>Pignon ou roue d'engrenage 27 [hors matières premières]</t>
  </si>
  <si>
    <t>Pignon ou roue d'engrenage 28 [hors matières premières]</t>
  </si>
  <si>
    <t>Pignon ou roue d'engrenage 29 [hors matières premières]</t>
  </si>
  <si>
    <t>Pignon ou roue d'engrenage 30 [hors matières premières]</t>
  </si>
  <si>
    <t>Pignon ou roue d'engrenage 31 [hors matières premières]</t>
  </si>
  <si>
    <t>Pignon ou roue d'engrenage 32 [hors matières premières]</t>
  </si>
  <si>
    <t>PRODUCTION DES PIGNONS, ROUES ET VIS SANS FIN
EN METAL (moyennes)</t>
  </si>
  <si>
    <t>FABRICATION DES FILS ET CABLES (moyennes)</t>
  </si>
  <si>
    <t>Longueur</t>
  </si>
  <si>
    <t>FABRICATION DES ADAPTATEURS ELECTRIQUES (moyennes)</t>
  </si>
  <si>
    <t>Câble ou fil 1 [dont matières premières]</t>
  </si>
  <si>
    <t>Câble ou fil 2 [dont matières premières]</t>
  </si>
  <si>
    <t>Câble ou fil 3 [dont matières premières]</t>
  </si>
  <si>
    <t>Câble ou fil 4 [dont matières premières]</t>
  </si>
  <si>
    <t>Câble ou fil 5 [dont matières premières]</t>
  </si>
  <si>
    <t>Câble ou fil 6 [dont matières premières]</t>
  </si>
  <si>
    <t>Câble ou fil 7 [dont matières premières]</t>
  </si>
  <si>
    <t>Câble ou fil 8 [dont matières premières]</t>
  </si>
  <si>
    <t>Câble ou fil 9 [dont matières premières]</t>
  </si>
  <si>
    <t>Câble ou fil 10 [dont matières premières]</t>
  </si>
  <si>
    <t>Câble ou fil 11 [dont matières premières]</t>
  </si>
  <si>
    <t>Câble ou fil 12 [dont matières premières]</t>
  </si>
  <si>
    <t>Adaptateur électrique 1 [dont matières premières]</t>
  </si>
  <si>
    <t>Adaptateur électrique 2 [dont matières premières]</t>
  </si>
  <si>
    <t>Adaptateur électrique 3 [dont matières premières]</t>
  </si>
  <si>
    <t>Adaptateur électrique 4 [dont matières premières]</t>
  </si>
  <si>
    <t>Pignon ou roue d'engrenage 1 [hors matières premières]</t>
  </si>
  <si>
    <t>Pignon ou roue d'engrenage 2 [hors matières premières]</t>
  </si>
  <si>
    <t>Pignon ou roue d'engrenage 3 [hors matières premières]</t>
  </si>
  <si>
    <t>Pignon ou roue d'engrenage 4 [hors matières premières]</t>
  </si>
  <si>
    <t>Pignon ou roue d'engrenage 5 [hors matières premières]</t>
  </si>
  <si>
    <t>Pignon ou roue d'engrenage 6 [hors matières premières]</t>
  </si>
  <si>
    <t>Pignon ou roue d'engrenage 7 [hors matières premières]</t>
  </si>
  <si>
    <t>Pignon ou roue d'engrenage 8 [hors matières premières]</t>
  </si>
  <si>
    <t>Pignon ou roue d'engrenage 9 [hors matières premières]</t>
  </si>
  <si>
    <t>Pignon ou roue d'engrenage 10 [hors matières premières]</t>
  </si>
  <si>
    <t>Pignon ou roue d'engrenage 11 [hors matières premières]</t>
  </si>
  <si>
    <t>Vis sans fin 1 [hors matières premières]</t>
  </si>
  <si>
    <t>BATTERIES, PILES, ACCUMULATEURS, ADAPTATEURS ELECTRIQUES …</t>
  </si>
  <si>
    <t>Section</t>
  </si>
  <si>
    <t>mm2</t>
  </si>
  <si>
    <t>Polyamide (PA)</t>
  </si>
  <si>
    <t>TRANSPORT FERROVIAIRE DE FRET EN EUROPE</t>
  </si>
  <si>
    <t>Lituanie</t>
  </si>
  <si>
    <t>Calcul des distances ferroviaires en Europe :</t>
  </si>
  <si>
    <t xml:space="preserve">www.distances.com </t>
  </si>
  <si>
    <t>Polynesie Française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</si>
</sst>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s>
  <fonts count="88">
    <font>
      <sz val="10"/>
      <name val="Arial"/>
      <family val="0"/>
    </font>
    <font>
      <sz val="10"/>
      <name val="Verdana"/>
      <family val="2"/>
    </font>
    <font>
      <b/>
      <sz val="12"/>
      <name val="Verdana"/>
      <family val="2"/>
    </font>
    <font>
      <u val="single"/>
      <sz val="10"/>
      <color indexed="12"/>
      <name val="Arial"/>
      <family val="0"/>
    </font>
    <font>
      <u val="single"/>
      <sz val="10"/>
      <color indexed="36"/>
      <name val="Arial"/>
      <family val="0"/>
    </font>
    <font>
      <b/>
      <sz val="10"/>
      <name val="Verdana"/>
      <family val="2"/>
    </font>
    <font>
      <b/>
      <i/>
      <sz val="10"/>
      <name val="Verdana"/>
      <family val="2"/>
    </font>
    <font>
      <b/>
      <sz val="10"/>
      <color indexed="10"/>
      <name val="Verdana"/>
      <family val="2"/>
    </font>
    <font>
      <b/>
      <sz val="10"/>
      <color indexed="17"/>
      <name val="Verdana"/>
      <family val="2"/>
    </font>
    <font>
      <b/>
      <sz val="10"/>
      <color indexed="10"/>
      <name val="Arial"/>
      <family val="2"/>
    </font>
    <font>
      <b/>
      <i/>
      <sz val="10"/>
      <color indexed="18"/>
      <name val="Verdana"/>
      <family val="2"/>
    </font>
    <font>
      <i/>
      <sz val="10"/>
      <name val="Verdana"/>
      <family val="2"/>
    </font>
    <font>
      <sz val="8"/>
      <name val="Tahoma"/>
      <family val="0"/>
    </font>
    <font>
      <b/>
      <sz val="8"/>
      <name val="Tahoma"/>
      <family val="0"/>
    </font>
    <font>
      <i/>
      <sz val="8"/>
      <name val="Tahoma"/>
      <family val="2"/>
    </font>
    <font>
      <b/>
      <i/>
      <sz val="10"/>
      <color indexed="13"/>
      <name val="Verdana"/>
      <family val="2"/>
    </font>
    <font>
      <b/>
      <sz val="10"/>
      <color indexed="13"/>
      <name val="Verdana"/>
      <family val="2"/>
    </font>
    <font>
      <b/>
      <sz val="10"/>
      <color indexed="41"/>
      <name val="Verdana"/>
      <family val="2"/>
    </font>
    <font>
      <b/>
      <i/>
      <sz val="10"/>
      <color indexed="20"/>
      <name val="Verdana"/>
      <family val="2"/>
    </font>
    <font>
      <b/>
      <sz val="12"/>
      <color indexed="43"/>
      <name val="Verdana"/>
      <family val="2"/>
    </font>
    <font>
      <sz val="10"/>
      <color indexed="43"/>
      <name val="Verdana"/>
      <family val="2"/>
    </font>
    <font>
      <b/>
      <sz val="10"/>
      <color indexed="9"/>
      <name val="Verdana"/>
      <family val="2"/>
    </font>
    <font>
      <b/>
      <sz val="12"/>
      <name val="Arial"/>
      <family val="2"/>
    </font>
    <font>
      <b/>
      <i/>
      <sz val="11"/>
      <name val="Verdana"/>
      <family val="2"/>
    </font>
    <font>
      <b/>
      <sz val="10"/>
      <color indexed="12"/>
      <name val="Verdana"/>
      <family val="2"/>
    </font>
    <font>
      <sz val="10"/>
      <color indexed="13"/>
      <name val="Verdana"/>
      <family val="2"/>
    </font>
    <font>
      <sz val="10"/>
      <color indexed="13"/>
      <name val="Arial"/>
      <family val="0"/>
    </font>
    <font>
      <sz val="10"/>
      <color indexed="63"/>
      <name val="Verdana"/>
      <family val="2"/>
    </font>
    <font>
      <b/>
      <i/>
      <sz val="12"/>
      <color indexed="16"/>
      <name val="Verdana"/>
      <family val="2"/>
    </font>
    <font>
      <b/>
      <sz val="12"/>
      <color indexed="9"/>
      <name val="Verdana"/>
      <family val="2"/>
    </font>
    <font>
      <b/>
      <i/>
      <sz val="10"/>
      <color indexed="9"/>
      <name val="Verdana"/>
      <family val="2"/>
    </font>
    <font>
      <b/>
      <i/>
      <sz val="12"/>
      <color indexed="9"/>
      <name val="Verdana"/>
      <family val="2"/>
    </font>
    <font>
      <b/>
      <i/>
      <sz val="12"/>
      <color indexed="10"/>
      <name val="Verdana"/>
      <family val="2"/>
    </font>
    <font>
      <b/>
      <sz val="11"/>
      <color indexed="41"/>
      <name val="Verdana"/>
      <family val="2"/>
    </font>
    <font>
      <sz val="10"/>
      <name val="Tahoma"/>
      <family val="2"/>
    </font>
    <font>
      <b/>
      <sz val="10"/>
      <name val="Tahoma"/>
      <family val="2"/>
    </font>
    <font>
      <i/>
      <sz val="10"/>
      <name val="Tahoma"/>
      <family val="2"/>
    </font>
    <font>
      <b/>
      <i/>
      <sz val="10"/>
      <name val="Tahoma"/>
      <family val="2"/>
    </font>
    <font>
      <sz val="12"/>
      <color indexed="8"/>
      <name val="Arial"/>
      <family val="0"/>
    </font>
    <font>
      <b/>
      <i/>
      <sz val="9"/>
      <color indexed="8"/>
      <name val="Verdana"/>
      <family val="0"/>
    </font>
    <font>
      <sz val="8"/>
      <color indexed="8"/>
      <name val="Verdana"/>
      <family val="0"/>
    </font>
    <font>
      <sz val="7.35"/>
      <color indexed="8"/>
      <name val="Verdana"/>
      <family val="0"/>
    </font>
    <font>
      <sz val="12"/>
      <color indexed="8"/>
      <name val="Times New Roman"/>
      <family val="2"/>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1"/>
      <color indexed="18"/>
      <name val="Verdana"/>
      <family val="0"/>
    </font>
    <font>
      <sz val="10"/>
      <color indexed="18"/>
      <name val="Verdana"/>
      <family val="0"/>
    </font>
    <font>
      <b/>
      <sz val="12"/>
      <color indexed="58"/>
      <name val="Verdana"/>
      <family val="0"/>
    </font>
    <font>
      <sz val="10"/>
      <color indexed="8"/>
      <name val="Arial"/>
      <family val="0"/>
    </font>
    <font>
      <b/>
      <sz val="14"/>
      <color indexed="18"/>
      <name val="Verdana"/>
      <family val="0"/>
    </font>
    <font>
      <sz val="14"/>
      <color indexed="8"/>
      <name val="Verdana"/>
      <family val="0"/>
    </font>
    <font>
      <b/>
      <sz val="14"/>
      <color indexed="9"/>
      <name val="Verdana"/>
      <family val="0"/>
    </font>
    <font>
      <b/>
      <sz val="10"/>
      <color indexed="8"/>
      <name val="Verdana"/>
      <family val="0"/>
    </font>
    <font>
      <sz val="10"/>
      <color indexed="8"/>
      <name val="Verdana"/>
      <family val="0"/>
    </font>
    <font>
      <i/>
      <u val="single"/>
      <sz val="10"/>
      <color indexed="8"/>
      <name val="Verdana"/>
      <family val="0"/>
    </font>
    <font>
      <b/>
      <i/>
      <sz val="10"/>
      <color indexed="8"/>
      <name val="Verdana"/>
      <family val="0"/>
    </font>
    <font>
      <sz val="12"/>
      <color theme="1"/>
      <name val="Times New Roman"/>
      <family val="2"/>
    </font>
    <font>
      <sz val="12"/>
      <color theme="0"/>
      <name val="Times New Roman"/>
      <family val="2"/>
    </font>
    <font>
      <sz val="12"/>
      <color rgb="FFFF00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sz val="12"/>
      <color rgb="FF9C6500"/>
      <name val="Times New Roman"/>
      <family val="2"/>
    </font>
    <font>
      <sz val="12"/>
      <color rgb="FF006100"/>
      <name val="Times New Roman"/>
      <family val="2"/>
    </font>
    <font>
      <b/>
      <sz val="12"/>
      <color rgb="FF3F3F3F"/>
      <name val="Times New Roman"/>
      <family val="2"/>
    </font>
    <font>
      <i/>
      <sz val="12"/>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14"/>
        <bgColor indexed="64"/>
      </patternFill>
    </fill>
    <fill>
      <patternFill patternType="solid">
        <fgColor indexed="55"/>
        <bgColor indexed="64"/>
      </patternFill>
    </fill>
    <fill>
      <patternFill patternType="solid">
        <fgColor indexed="57"/>
        <bgColor indexed="64"/>
      </patternFill>
    </fill>
    <fill>
      <patternFill patternType="solid">
        <fgColor indexed="17"/>
        <bgColor indexed="64"/>
      </patternFill>
    </fill>
    <fill>
      <patternFill patternType="solid">
        <fgColor indexed="2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0" borderId="2" applyNumberFormat="0" applyFill="0" applyAlignment="0" applyProtection="0"/>
    <xf numFmtId="0" fontId="0" fillId="26" borderId="3" applyNumberFormat="0" applyFont="0" applyAlignment="0" applyProtection="0"/>
    <xf numFmtId="0" fontId="75" fillId="27" borderId="1" applyNumberFormat="0" applyAlignment="0" applyProtection="0"/>
    <xf numFmtId="0" fontId="76"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9" fontId="0" fillId="0" borderId="0" applyFont="0" applyFill="0" applyBorder="0" applyAlignment="0" applyProtection="0"/>
    <xf numFmtId="0" fontId="78" fillId="30" borderId="0" applyNumberFormat="0" applyBorder="0" applyAlignment="0" applyProtection="0"/>
    <xf numFmtId="0" fontId="79" fillId="25"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1" borderId="9" applyNumberFormat="0" applyAlignment="0" applyProtection="0"/>
  </cellStyleXfs>
  <cellXfs count="24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8" fillId="4" borderId="10" xfId="0" applyFont="1" applyFill="1" applyBorder="1" applyAlignment="1">
      <alignment/>
    </xf>
    <xf numFmtId="0" fontId="7" fillId="32" borderId="10" xfId="0" applyFont="1" applyFill="1" applyBorder="1" applyAlignment="1">
      <alignment/>
    </xf>
    <xf numFmtId="0" fontId="1" fillId="0" borderId="11" xfId="0" applyFont="1" applyBorder="1" applyAlignment="1">
      <alignment/>
    </xf>
    <xf numFmtId="0" fontId="5" fillId="0" borderId="11" xfId="0" applyFont="1" applyBorder="1" applyAlignment="1">
      <alignment/>
    </xf>
    <xf numFmtId="0" fontId="6" fillId="0" borderId="12" xfId="0" applyFont="1" applyBorder="1" applyAlignment="1">
      <alignment horizontal="center" vertical="center" wrapText="1"/>
    </xf>
    <xf numFmtId="0" fontId="5" fillId="33" borderId="10" xfId="0" applyFont="1" applyFill="1" applyBorder="1" applyAlignment="1">
      <alignment/>
    </xf>
    <xf numFmtId="0" fontId="1" fillId="0" borderId="12" xfId="0" applyFont="1" applyBorder="1" applyAlignment="1">
      <alignment/>
    </xf>
    <xf numFmtId="0" fontId="1" fillId="33" borderId="10"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4" borderId="10" xfId="0" applyFont="1" applyFill="1" applyBorder="1" applyAlignment="1">
      <alignment/>
    </xf>
    <xf numFmtId="0" fontId="1" fillId="0" borderId="14" xfId="0" applyFont="1" applyBorder="1" applyAlignment="1">
      <alignment horizontal="center"/>
    </xf>
    <xf numFmtId="0" fontId="1" fillId="0" borderId="0" xfId="0" applyFont="1" applyFill="1" applyAlignment="1">
      <alignment/>
    </xf>
    <xf numFmtId="0" fontId="1" fillId="4" borderId="15" xfId="0" applyFont="1" applyFill="1" applyBorder="1" applyAlignment="1">
      <alignment/>
    </xf>
    <xf numFmtId="0" fontId="1" fillId="4" borderId="16" xfId="0" applyFont="1" applyFill="1" applyBorder="1" applyAlignment="1">
      <alignment/>
    </xf>
    <xf numFmtId="0" fontId="1" fillId="4" borderId="17" xfId="0" applyFont="1" applyFill="1" applyBorder="1" applyAlignment="1">
      <alignment/>
    </xf>
    <xf numFmtId="0" fontId="1" fillId="0" borderId="14" xfId="0" applyFont="1" applyBorder="1" applyAlignment="1">
      <alignment/>
    </xf>
    <xf numFmtId="0" fontId="1" fillId="0" borderId="18" xfId="0" applyFont="1" applyBorder="1" applyAlignment="1">
      <alignment/>
    </xf>
    <xf numFmtId="0" fontId="1" fillId="33" borderId="10" xfId="0" applyFont="1" applyFill="1" applyBorder="1" applyAlignment="1">
      <alignment/>
    </xf>
    <xf numFmtId="0" fontId="1" fillId="0" borderId="12" xfId="0" applyFont="1" applyFill="1" applyBorder="1" applyAlignment="1">
      <alignment/>
    </xf>
    <xf numFmtId="0" fontId="1" fillId="0" borderId="0" xfId="0" applyFont="1" applyAlignment="1">
      <alignment horizontal="right"/>
    </xf>
    <xf numFmtId="0" fontId="5" fillId="34" borderId="10"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1" fillId="0" borderId="11" xfId="0" applyFont="1" applyBorder="1" applyAlignment="1">
      <alignment horizontal="center" wrapText="1"/>
    </xf>
    <xf numFmtId="0" fontId="1" fillId="0" borderId="19" xfId="0" applyFont="1" applyBorder="1" applyAlignment="1">
      <alignment/>
    </xf>
    <xf numFmtId="0" fontId="1" fillId="33" borderId="15" xfId="0" applyFont="1" applyFill="1" applyBorder="1" applyAlignment="1">
      <alignment/>
    </xf>
    <xf numFmtId="0" fontId="5" fillId="5" borderId="10" xfId="0" applyFont="1" applyFill="1" applyBorder="1" applyAlignment="1">
      <alignment vertical="center"/>
    </xf>
    <xf numFmtId="0" fontId="11" fillId="0" borderId="0" xfId="0" applyFont="1" applyAlignment="1">
      <alignment vertical="top" wrapText="1"/>
    </xf>
    <xf numFmtId="3" fontId="1" fillId="0" borderId="11" xfId="0" applyNumberFormat="1" applyFont="1" applyBorder="1" applyAlignment="1">
      <alignment/>
    </xf>
    <xf numFmtId="0" fontId="5" fillId="0" borderId="11" xfId="0" applyFont="1" applyBorder="1" applyAlignment="1">
      <alignment vertical="top"/>
    </xf>
    <xf numFmtId="0" fontId="1" fillId="0" borderId="11" xfId="0" applyFont="1" applyFill="1" applyBorder="1" applyAlignment="1">
      <alignment/>
    </xf>
    <xf numFmtId="3" fontId="1" fillId="0" borderId="11" xfId="0" applyNumberFormat="1" applyFont="1" applyFill="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 fillId="0" borderId="11" xfId="0" applyFont="1" applyFill="1" applyBorder="1" applyAlignment="1">
      <alignment horizontal="center"/>
    </xf>
    <xf numFmtId="0" fontId="1" fillId="0" borderId="11" xfId="0" applyFont="1" applyBorder="1" applyAlignment="1">
      <alignment horizontal="center"/>
    </xf>
    <xf numFmtId="0" fontId="1" fillId="0" borderId="13" xfId="0" applyFont="1" applyFill="1" applyBorder="1" applyAlignment="1">
      <alignment horizontal="right"/>
    </xf>
    <xf numFmtId="0" fontId="5" fillId="0" borderId="0" xfId="0" applyFont="1" applyFill="1" applyBorder="1" applyAlignment="1">
      <alignment/>
    </xf>
    <xf numFmtId="0" fontId="1" fillId="0" borderId="11" xfId="0" applyFont="1" applyBorder="1" applyAlignment="1">
      <alignment horizontal="left"/>
    </xf>
    <xf numFmtId="0" fontId="11" fillId="0" borderId="11" xfId="0" applyFont="1" applyBorder="1" applyAlignment="1">
      <alignment vertical="top" wrapText="1"/>
    </xf>
    <xf numFmtId="172" fontId="1" fillId="0" borderId="11" xfId="0" applyNumberFormat="1" applyFont="1" applyBorder="1" applyAlignment="1">
      <alignment/>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xf>
    <xf numFmtId="0" fontId="5" fillId="32" borderId="15" xfId="0" applyFont="1" applyFill="1" applyBorder="1" applyAlignment="1">
      <alignment horizontal="center" wrapText="1"/>
    </xf>
    <xf numFmtId="0" fontId="5" fillId="32" borderId="17" xfId="0" applyFont="1" applyFill="1" applyBorder="1" applyAlignment="1">
      <alignment horizontal="center" wrapText="1"/>
    </xf>
    <xf numFmtId="0" fontId="6" fillId="32" borderId="10" xfId="0" applyFont="1" applyFill="1" applyBorder="1" applyAlignment="1">
      <alignment horizont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33" borderId="20" xfId="0" applyFont="1" applyFill="1" applyBorder="1" applyAlignment="1">
      <alignment horizontal="center" wrapText="1"/>
    </xf>
    <xf numFmtId="0" fontId="6" fillId="4" borderId="20" xfId="0" applyFont="1" applyFill="1" applyBorder="1" applyAlignment="1">
      <alignment horizontal="center" vertical="center"/>
    </xf>
    <xf numFmtId="0" fontId="6" fillId="4" borderId="10" xfId="0" applyFont="1" applyFill="1" applyBorder="1" applyAlignment="1">
      <alignment horizontal="center"/>
    </xf>
    <xf numFmtId="0" fontId="5" fillId="34" borderId="11" xfId="0" applyFont="1" applyFill="1" applyBorder="1" applyAlignment="1">
      <alignment/>
    </xf>
    <xf numFmtId="0" fontId="5" fillId="34" borderId="20" xfId="0" applyFont="1" applyFill="1" applyBorder="1" applyAlignment="1">
      <alignment/>
    </xf>
    <xf numFmtId="0" fontId="11" fillId="35" borderId="11"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6" borderId="11" xfId="0" applyFont="1" applyFill="1" applyBorder="1" applyAlignment="1">
      <alignment horizontal="center" vertical="center" wrapText="1"/>
    </xf>
    <xf numFmtId="0" fontId="5" fillId="34" borderId="11" xfId="0" applyFont="1" applyFill="1" applyBorder="1" applyAlignment="1">
      <alignment horizontal="right"/>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36" borderId="20" xfId="0" applyFont="1" applyFill="1" applyBorder="1" applyAlignment="1">
      <alignment horizontal="center" vertical="center"/>
    </xf>
    <xf numFmtId="0" fontId="11" fillId="36" borderId="21" xfId="0" applyFont="1" applyFill="1" applyBorder="1" applyAlignment="1">
      <alignment horizontal="center" vertical="center"/>
    </xf>
    <xf numFmtId="0" fontId="1" fillId="36" borderId="12" xfId="0" applyFont="1" applyFill="1" applyBorder="1" applyAlignment="1">
      <alignment/>
    </xf>
    <xf numFmtId="0" fontId="11" fillId="0" borderId="0" xfId="0" applyFont="1" applyBorder="1" applyAlignment="1">
      <alignment horizontal="center" vertical="center" wrapText="1"/>
    </xf>
    <xf numFmtId="0" fontId="5" fillId="18" borderId="20" xfId="0" applyFont="1" applyFill="1" applyBorder="1" applyAlignment="1">
      <alignment horizontal="center" vertical="center" wrapText="1"/>
    </xf>
    <xf numFmtId="0" fontId="6" fillId="18" borderId="21" xfId="0" applyFont="1" applyFill="1" applyBorder="1" applyAlignment="1">
      <alignment horizontal="center" vertical="center"/>
    </xf>
    <xf numFmtId="0" fontId="5" fillId="18" borderId="11" xfId="0" applyFont="1" applyFill="1" applyBorder="1" applyAlignment="1">
      <alignment horizontal="right"/>
    </xf>
    <xf numFmtId="0" fontId="5" fillId="18" borderId="20" xfId="0" applyFont="1" applyFill="1" applyBorder="1" applyAlignment="1">
      <alignment horizontal="right"/>
    </xf>
    <xf numFmtId="0" fontId="5" fillId="18" borderId="10" xfId="0" applyFont="1" applyFill="1" applyBorder="1" applyAlignment="1">
      <alignment horizontal="right"/>
    </xf>
    <xf numFmtId="0" fontId="16" fillId="37" borderId="10" xfId="0" applyFont="1" applyFill="1" applyBorder="1" applyAlignment="1">
      <alignment horizontal="right"/>
    </xf>
    <xf numFmtId="0" fontId="16" fillId="37" borderId="10" xfId="0" applyFont="1" applyFill="1" applyBorder="1" applyAlignment="1">
      <alignment/>
    </xf>
    <xf numFmtId="0" fontId="5" fillId="18" borderId="10" xfId="0" applyFont="1" applyFill="1" applyBorder="1" applyAlignment="1">
      <alignment/>
    </xf>
    <xf numFmtId="0" fontId="5" fillId="0" borderId="11" xfId="0" applyFont="1" applyFill="1" applyBorder="1" applyAlignment="1">
      <alignment/>
    </xf>
    <xf numFmtId="0" fontId="5" fillId="0" borderId="20" xfId="0" applyFont="1" applyFill="1" applyBorder="1" applyAlignment="1">
      <alignment/>
    </xf>
    <xf numFmtId="0" fontId="15" fillId="37" borderId="18" xfId="0" applyFont="1" applyFill="1" applyBorder="1" applyAlignment="1">
      <alignment horizontal="center" vertical="center"/>
    </xf>
    <xf numFmtId="0" fontId="15" fillId="37" borderId="21" xfId="0" applyFont="1" applyFill="1" applyBorder="1" applyAlignment="1">
      <alignment horizontal="center" vertical="center"/>
    </xf>
    <xf numFmtId="0" fontId="6" fillId="38" borderId="20" xfId="0" applyFont="1" applyFill="1" applyBorder="1" applyAlignment="1">
      <alignment horizontal="center" vertical="center"/>
    </xf>
    <xf numFmtId="0" fontId="6" fillId="38" borderId="21" xfId="0" applyFont="1" applyFill="1" applyBorder="1" applyAlignment="1">
      <alignment horizontal="center" vertical="center"/>
    </xf>
    <xf numFmtId="0" fontId="1" fillId="38" borderId="11" xfId="0" applyFont="1" applyFill="1" applyBorder="1" applyAlignment="1">
      <alignment/>
    </xf>
    <xf numFmtId="0" fontId="5" fillId="32" borderId="15"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17" fillId="39" borderId="10" xfId="0" applyFont="1" applyFill="1" applyBorder="1" applyAlignment="1">
      <alignment vertical="center" wrapText="1"/>
    </xf>
    <xf numFmtId="0" fontId="6" fillId="18" borderId="20" xfId="0" applyFont="1" applyFill="1" applyBorder="1" applyAlignment="1">
      <alignment horizontal="center" vertical="center"/>
    </xf>
    <xf numFmtId="0" fontId="1" fillId="0" borderId="13" xfId="0" applyFont="1" applyFill="1" applyBorder="1" applyAlignment="1">
      <alignment/>
    </xf>
    <xf numFmtId="0" fontId="5" fillId="18" borderId="15" xfId="0" applyFont="1" applyFill="1" applyBorder="1" applyAlignment="1">
      <alignment/>
    </xf>
    <xf numFmtId="0" fontId="21" fillId="40" borderId="10" xfId="0" applyFont="1" applyFill="1" applyBorder="1" applyAlignment="1">
      <alignment vertical="center"/>
    </xf>
    <xf numFmtId="0" fontId="11" fillId="0" borderId="0" xfId="0" applyFont="1" applyAlignment="1">
      <alignment vertical="top"/>
    </xf>
    <xf numFmtId="0" fontId="19" fillId="39" borderId="23" xfId="0" applyFont="1" applyFill="1" applyBorder="1" applyAlignment="1">
      <alignment vertical="center"/>
    </xf>
    <xf numFmtId="0" fontId="20" fillId="39" borderId="24" xfId="0" applyFont="1" applyFill="1" applyBorder="1" applyAlignment="1">
      <alignment vertical="center"/>
    </xf>
    <xf numFmtId="0" fontId="2" fillId="41" borderId="23" xfId="0" applyFont="1" applyFill="1" applyBorder="1" applyAlignment="1">
      <alignment vertical="center"/>
    </xf>
    <xf numFmtId="0" fontId="1" fillId="41" borderId="24" xfId="0" applyFont="1" applyFill="1" applyBorder="1" applyAlignment="1">
      <alignment vertical="center"/>
    </xf>
    <xf numFmtId="0" fontId="6" fillId="33" borderId="22"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5" borderId="10" xfId="0" applyFont="1" applyFill="1" applyBorder="1" applyAlignment="1">
      <alignment vertical="center" wrapText="1"/>
    </xf>
    <xf numFmtId="0" fontId="15" fillId="37" borderId="21" xfId="0" applyFont="1" applyFill="1" applyBorder="1" applyAlignment="1">
      <alignment horizontal="center" vertical="center" wrapText="1"/>
    </xf>
    <xf numFmtId="0" fontId="1" fillId="0" borderId="21" xfId="0" applyFont="1" applyFill="1" applyBorder="1" applyAlignment="1">
      <alignment/>
    </xf>
    <xf numFmtId="0" fontId="1" fillId="0" borderId="0" xfId="0" applyFont="1" applyBorder="1" applyAlignment="1">
      <alignment/>
    </xf>
    <xf numFmtId="0" fontId="5" fillId="0" borderId="0" xfId="0" applyFont="1" applyAlignment="1">
      <alignment horizontal="right"/>
    </xf>
    <xf numFmtId="0" fontId="5" fillId="4" borderId="10" xfId="0" applyFont="1" applyFill="1" applyBorder="1" applyAlignment="1">
      <alignment/>
    </xf>
    <xf numFmtId="0" fontId="6" fillId="0" borderId="25" xfId="0" applyFont="1" applyFill="1" applyBorder="1" applyAlignment="1">
      <alignment horizontal="center" vertical="center"/>
    </xf>
    <xf numFmtId="0" fontId="23" fillId="0" borderId="0" xfId="0" applyFont="1" applyAlignment="1">
      <alignment vertical="top"/>
    </xf>
    <xf numFmtId="0" fontId="1" fillId="0" borderId="20" xfId="0" applyFont="1" applyBorder="1" applyAlignment="1">
      <alignment horizontal="center"/>
    </xf>
    <xf numFmtId="0" fontId="1" fillId="0" borderId="10" xfId="0" applyFont="1" applyBorder="1" applyAlignment="1">
      <alignment horizontal="center"/>
    </xf>
    <xf numFmtId="0" fontId="24" fillId="0" borderId="13" xfId="0" applyFont="1" applyBorder="1" applyAlignment="1">
      <alignment/>
    </xf>
    <xf numFmtId="0" fontId="0" fillId="0" borderId="0" xfId="0" applyFill="1" applyAlignment="1">
      <alignment/>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1" fillId="0" borderId="11" xfId="0" applyFont="1" applyBorder="1" applyAlignment="1">
      <alignment vertical="center"/>
    </xf>
    <xf numFmtId="0" fontId="15" fillId="42" borderId="20" xfId="0" applyFont="1" applyFill="1" applyBorder="1" applyAlignment="1">
      <alignment horizontal="center" vertical="center" wrapText="1"/>
    </xf>
    <xf numFmtId="0" fontId="15" fillId="42" borderId="21" xfId="0" applyFont="1" applyFill="1" applyBorder="1" applyAlignment="1">
      <alignment horizontal="center" vertical="center"/>
    </xf>
    <xf numFmtId="0" fontId="26" fillId="0" borderId="0" xfId="0" applyFont="1" applyAlignment="1">
      <alignment/>
    </xf>
    <xf numFmtId="0" fontId="16" fillId="42" borderId="11" xfId="0" applyFont="1" applyFill="1" applyBorder="1" applyAlignment="1">
      <alignment/>
    </xf>
    <xf numFmtId="0" fontId="16" fillId="42" borderId="20" xfId="0" applyFont="1" applyFill="1" applyBorder="1" applyAlignment="1">
      <alignment/>
    </xf>
    <xf numFmtId="0" fontId="16" fillId="42" borderId="10" xfId="0" applyFont="1" applyFill="1" applyBorder="1" applyAlignment="1">
      <alignment/>
    </xf>
    <xf numFmtId="0" fontId="1" fillId="0" borderId="0" xfId="0" applyFont="1" applyFill="1" applyAlignment="1">
      <alignment horizontal="right"/>
    </xf>
    <xf numFmtId="0" fontId="1" fillId="0" borderId="11" xfId="0" applyFont="1" applyFill="1" applyBorder="1" applyAlignment="1">
      <alignment vertical="center"/>
    </xf>
    <xf numFmtId="0" fontId="1" fillId="0" borderId="11" xfId="0" applyFont="1" applyFill="1" applyBorder="1" applyAlignment="1">
      <alignment horizontal="right"/>
    </xf>
    <xf numFmtId="0" fontId="30" fillId="43" borderId="13" xfId="0" applyFont="1" applyFill="1" applyBorder="1" applyAlignment="1">
      <alignment horizontal="center" vertical="center"/>
    </xf>
    <xf numFmtId="0" fontId="0" fillId="36" borderId="0" xfId="0" applyFill="1" applyAlignment="1">
      <alignment/>
    </xf>
    <xf numFmtId="0" fontId="10" fillId="36" borderId="0" xfId="0" applyFont="1" applyFill="1" applyAlignment="1">
      <alignment horizontal="center"/>
    </xf>
    <xf numFmtId="0" fontId="9" fillId="36" borderId="0" xfId="0" applyFont="1" applyFill="1" applyBorder="1" applyAlignment="1">
      <alignment/>
    </xf>
    <xf numFmtId="0" fontId="10" fillId="36" borderId="0" xfId="0" applyFont="1" applyFill="1" applyBorder="1" applyAlignment="1">
      <alignment horizontal="center"/>
    </xf>
    <xf numFmtId="0" fontId="22" fillId="36" borderId="0" xfId="0" applyFont="1" applyFill="1" applyAlignment="1">
      <alignment horizontal="center"/>
    </xf>
    <xf numFmtId="0" fontId="18" fillId="36" borderId="0" xfId="0" applyFont="1" applyFill="1" applyAlignment="1">
      <alignment horizontal="center"/>
    </xf>
    <xf numFmtId="0" fontId="1" fillId="36" borderId="0" xfId="0" applyFont="1" applyFill="1" applyAlignment="1">
      <alignment/>
    </xf>
    <xf numFmtId="0" fontId="28" fillId="3" borderId="10" xfId="0" applyFont="1" applyFill="1" applyBorder="1" applyAlignment="1">
      <alignment/>
    </xf>
    <xf numFmtId="0" fontId="32" fillId="32" borderId="10" xfId="0" applyFont="1" applyFill="1" applyBorder="1" applyAlignment="1">
      <alignment/>
    </xf>
    <xf numFmtId="0" fontId="31" fillId="44" borderId="10" xfId="0" applyFont="1" applyFill="1" applyBorder="1" applyAlignment="1">
      <alignment horizontal="center" vertical="center"/>
    </xf>
    <xf numFmtId="0" fontId="1" fillId="0" borderId="0" xfId="0" applyFont="1" applyAlignment="1">
      <alignment horizontal="center" vertical="center"/>
    </xf>
    <xf numFmtId="0" fontId="29" fillId="0" borderId="0" xfId="0" applyFont="1" applyFill="1" applyBorder="1" applyAlignment="1">
      <alignment vertical="center" wrapText="1"/>
    </xf>
    <xf numFmtId="0" fontId="1" fillId="0" borderId="0" xfId="0" applyFont="1" applyFill="1" applyBorder="1" applyAlignment="1">
      <alignment/>
    </xf>
    <xf numFmtId="0" fontId="6"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6" fillId="38" borderId="11" xfId="0" applyFont="1" applyFill="1" applyBorder="1" applyAlignment="1">
      <alignment horizontal="center" vertical="center" wrapText="1"/>
    </xf>
    <xf numFmtId="0" fontId="6" fillId="38" borderId="13" xfId="0" applyFont="1" applyFill="1" applyBorder="1" applyAlignment="1">
      <alignment horizontal="center" vertical="center"/>
    </xf>
    <xf numFmtId="0" fontId="1" fillId="38" borderId="11" xfId="0" applyFont="1" applyFill="1" applyBorder="1" applyAlignment="1">
      <alignment horizontal="right"/>
    </xf>
    <xf numFmtId="0" fontId="1" fillId="38" borderId="11" xfId="0" applyFont="1" applyFill="1" applyBorder="1" applyAlignment="1">
      <alignment horizontal="right" wrapText="1"/>
    </xf>
    <xf numFmtId="0" fontId="1" fillId="36" borderId="0" xfId="0" applyFont="1" applyFill="1" applyBorder="1" applyAlignment="1">
      <alignment/>
    </xf>
    <xf numFmtId="0" fontId="3" fillId="36" borderId="0" xfId="45" applyFill="1" applyAlignment="1" applyProtection="1">
      <alignment/>
      <protection/>
    </xf>
    <xf numFmtId="0" fontId="2" fillId="36" borderId="0" xfId="0" applyFont="1" applyFill="1" applyAlignment="1">
      <alignment/>
    </xf>
    <xf numFmtId="0" fontId="33" fillId="36" borderId="0" xfId="0" applyFont="1" applyFill="1" applyBorder="1" applyAlignment="1">
      <alignment vertical="center" wrapText="1"/>
    </xf>
    <xf numFmtId="0" fontId="1" fillId="38" borderId="26" xfId="0" applyFont="1" applyFill="1" applyBorder="1" applyAlignment="1">
      <alignment/>
    </xf>
    <xf numFmtId="0" fontId="1" fillId="38" borderId="19" xfId="0" applyFont="1" applyFill="1" applyBorder="1" applyAlignment="1">
      <alignment/>
    </xf>
    <xf numFmtId="0" fontId="3" fillId="38" borderId="27" xfId="45" applyFill="1" applyBorder="1" applyAlignment="1" applyProtection="1">
      <alignment/>
      <protection/>
    </xf>
    <xf numFmtId="0" fontId="1" fillId="38" borderId="0" xfId="0" applyFont="1" applyFill="1" applyBorder="1" applyAlignment="1">
      <alignment/>
    </xf>
    <xf numFmtId="0" fontId="1" fillId="38" borderId="28" xfId="0" applyFont="1" applyFill="1" applyBorder="1" applyAlignment="1">
      <alignment/>
    </xf>
    <xf numFmtId="0" fontId="3" fillId="38" borderId="18" xfId="45" applyFill="1" applyBorder="1" applyAlignment="1" applyProtection="1">
      <alignment/>
      <protection/>
    </xf>
    <xf numFmtId="0" fontId="1" fillId="38" borderId="29" xfId="0" applyFont="1" applyFill="1" applyBorder="1" applyAlignment="1">
      <alignment/>
    </xf>
    <xf numFmtId="0" fontId="1" fillId="38" borderId="22" xfId="0" applyFont="1" applyFill="1" applyBorder="1" applyAlignment="1">
      <alignment/>
    </xf>
    <xf numFmtId="0" fontId="5" fillId="5" borderId="23" xfId="0" applyFont="1" applyFill="1" applyBorder="1" applyAlignment="1">
      <alignment vertical="center" wrapText="1"/>
    </xf>
    <xf numFmtId="0" fontId="1" fillId="36" borderId="0" xfId="0" applyFont="1" applyFill="1" applyAlignment="1">
      <alignment horizontal="center"/>
    </xf>
    <xf numFmtId="0" fontId="5" fillId="36" borderId="0" xfId="0" applyFont="1" applyFill="1" applyAlignment="1">
      <alignment/>
    </xf>
    <xf numFmtId="0" fontId="5" fillId="36" borderId="0" xfId="0" applyFont="1" applyFill="1" applyBorder="1" applyAlignment="1">
      <alignment horizontal="right"/>
    </xf>
    <xf numFmtId="0" fontId="6" fillId="36" borderId="0" xfId="0" applyFont="1" applyFill="1" applyBorder="1" applyAlignment="1">
      <alignment horizontal="center"/>
    </xf>
    <xf numFmtId="0" fontId="5" fillId="36" borderId="12" xfId="0" applyFont="1" applyFill="1" applyBorder="1" applyAlignment="1">
      <alignment horizontal="right"/>
    </xf>
    <xf numFmtId="0" fontId="1" fillId="36" borderId="0" xfId="0" applyFont="1" applyFill="1" applyAlignment="1">
      <alignment horizontal="right"/>
    </xf>
    <xf numFmtId="0" fontId="11" fillId="36" borderId="0" xfId="0" applyFont="1" applyFill="1" applyAlignment="1">
      <alignment vertical="top" wrapText="1"/>
    </xf>
    <xf numFmtId="0" fontId="11" fillId="36" borderId="14" xfId="0" applyFont="1" applyFill="1" applyBorder="1" applyAlignment="1">
      <alignment horizontal="center" vertical="center"/>
    </xf>
    <xf numFmtId="0" fontId="25" fillId="36" borderId="0" xfId="0" applyFont="1" applyFill="1" applyAlignment="1">
      <alignment/>
    </xf>
    <xf numFmtId="0" fontId="5" fillId="36" borderId="0" xfId="0" applyFont="1" applyFill="1" applyAlignment="1">
      <alignment horizontal="right"/>
    </xf>
    <xf numFmtId="0" fontId="11" fillId="36" borderId="0" xfId="0" applyFont="1" applyFill="1" applyBorder="1" applyAlignment="1">
      <alignment horizontal="center" vertical="center" wrapText="1"/>
    </xf>
    <xf numFmtId="0" fontId="11" fillId="36" borderId="0" xfId="0" applyFont="1" applyFill="1" applyAlignment="1">
      <alignment vertical="top"/>
    </xf>
    <xf numFmtId="0" fontId="11" fillId="36" borderId="0" xfId="0" applyFont="1" applyFill="1" applyBorder="1" applyAlignment="1">
      <alignment horizontal="center" wrapText="1"/>
    </xf>
    <xf numFmtId="0" fontId="6" fillId="36" borderId="0" xfId="0" applyFont="1" applyFill="1" applyBorder="1" applyAlignment="1">
      <alignment horizontal="center" vertical="center"/>
    </xf>
    <xf numFmtId="0" fontId="1" fillId="36" borderId="0" xfId="0" applyFont="1" applyFill="1" applyAlignment="1">
      <alignment/>
    </xf>
    <xf numFmtId="0" fontId="6" fillId="36" borderId="0" xfId="0" applyFont="1" applyFill="1" applyAlignment="1">
      <alignment vertical="center"/>
    </xf>
    <xf numFmtId="0" fontId="3" fillId="36" borderId="0" xfId="45" applyFill="1" applyAlignment="1" applyProtection="1">
      <alignment vertical="center"/>
      <protection/>
    </xf>
    <xf numFmtId="3" fontId="1" fillId="36" borderId="0" xfId="0" applyNumberFormat="1" applyFont="1" applyFill="1" applyAlignment="1">
      <alignment/>
    </xf>
    <xf numFmtId="0" fontId="11" fillId="36" borderId="0" xfId="0" applyFont="1" applyFill="1" applyAlignment="1">
      <alignment vertical="center"/>
    </xf>
    <xf numFmtId="0" fontId="5" fillId="36" borderId="0" xfId="0" applyFont="1" applyFill="1" applyBorder="1" applyAlignment="1">
      <alignment/>
    </xf>
    <xf numFmtId="0" fontId="26" fillId="36" borderId="0" xfId="0" applyFont="1" applyFill="1" applyAlignment="1">
      <alignment/>
    </xf>
    <xf numFmtId="0" fontId="23" fillId="36" borderId="0" xfId="0" applyFont="1" applyFill="1" applyAlignment="1">
      <alignment vertical="top"/>
    </xf>
    <xf numFmtId="0" fontId="6" fillId="36" borderId="0" xfId="0" applyFont="1" applyFill="1" applyBorder="1" applyAlignment="1">
      <alignment horizontal="center" wrapText="1"/>
    </xf>
    <xf numFmtId="0" fontId="1" fillId="36" borderId="0" xfId="0" applyFont="1" applyFill="1" applyBorder="1" applyAlignment="1">
      <alignment horizontal="center"/>
    </xf>
    <xf numFmtId="0" fontId="6" fillId="36" borderId="0" xfId="0" applyFont="1" applyFill="1" applyAlignment="1">
      <alignment horizontal="center"/>
    </xf>
    <xf numFmtId="0" fontId="5" fillId="36" borderId="0" xfId="0" applyFont="1" applyFill="1" applyBorder="1" applyAlignment="1">
      <alignment vertical="center"/>
    </xf>
    <xf numFmtId="0" fontId="33" fillId="39" borderId="23" xfId="0" applyFont="1" applyFill="1" applyBorder="1" applyAlignment="1">
      <alignment horizontal="center" vertical="center" wrapText="1"/>
    </xf>
    <xf numFmtId="0" fontId="33" fillId="39" borderId="30" xfId="0" applyFont="1" applyFill="1" applyBorder="1" applyAlignment="1">
      <alignment horizontal="center" vertical="center" wrapText="1"/>
    </xf>
    <xf numFmtId="0" fontId="33" fillId="39" borderId="24" xfId="0" applyFont="1" applyFill="1" applyBorder="1" applyAlignment="1">
      <alignment horizontal="center" vertical="center" wrapText="1"/>
    </xf>
    <xf numFmtId="0" fontId="29" fillId="43" borderId="23" xfId="0" applyFont="1" applyFill="1" applyBorder="1" applyAlignment="1">
      <alignment horizontal="center" vertical="center" wrapText="1"/>
    </xf>
    <xf numFmtId="0" fontId="29" fillId="43" borderId="30" xfId="0" applyFont="1" applyFill="1" applyBorder="1" applyAlignment="1">
      <alignment horizontal="center" vertical="center" wrapText="1"/>
    </xf>
    <xf numFmtId="0" fontId="29" fillId="43" borderId="24" xfId="0" applyFont="1" applyFill="1" applyBorder="1" applyAlignment="1">
      <alignment horizontal="center" vertical="center" wrapText="1"/>
    </xf>
    <xf numFmtId="0" fontId="29" fillId="45" borderId="31" xfId="0" applyFont="1" applyFill="1" applyBorder="1" applyAlignment="1">
      <alignment horizontal="center" vertical="center"/>
    </xf>
    <xf numFmtId="0" fontId="29" fillId="45" borderId="32" xfId="0" applyFont="1" applyFill="1" applyBorder="1" applyAlignment="1">
      <alignment horizontal="center" vertical="center"/>
    </xf>
    <xf numFmtId="0" fontId="29" fillId="45" borderId="33" xfId="0" applyFont="1" applyFill="1" applyBorder="1" applyAlignment="1">
      <alignment horizontal="center" vertical="center"/>
    </xf>
    <xf numFmtId="0" fontId="29" fillId="45" borderId="34" xfId="0" applyFont="1" applyFill="1" applyBorder="1" applyAlignment="1">
      <alignment horizontal="center" vertical="center"/>
    </xf>
    <xf numFmtId="0" fontId="29" fillId="45" borderId="35" xfId="0" applyFont="1" applyFill="1" applyBorder="1" applyAlignment="1">
      <alignment horizontal="center" vertical="center"/>
    </xf>
    <xf numFmtId="0" fontId="29" fillId="45" borderId="36" xfId="0" applyFont="1" applyFill="1" applyBorder="1" applyAlignment="1">
      <alignment horizontal="center" vertical="center"/>
    </xf>
    <xf numFmtId="0" fontId="5" fillId="38" borderId="27" xfId="0" applyFont="1" applyFill="1" applyBorder="1" applyAlignment="1">
      <alignment horizontal="left"/>
    </xf>
    <xf numFmtId="0" fontId="5" fillId="38" borderId="0" xfId="0" applyFont="1" applyFill="1" applyBorder="1" applyAlignment="1">
      <alignment horizontal="left"/>
    </xf>
    <xf numFmtId="0" fontId="5" fillId="38" borderId="28" xfId="0" applyFont="1" applyFill="1" applyBorder="1" applyAlignment="1">
      <alignment horizontal="left"/>
    </xf>
    <xf numFmtId="0" fontId="5" fillId="38" borderId="14" xfId="0" applyFont="1" applyFill="1" applyBorder="1" applyAlignment="1">
      <alignment horizontal="left"/>
    </xf>
    <xf numFmtId="0" fontId="5" fillId="38" borderId="26" xfId="0" applyFont="1" applyFill="1" applyBorder="1" applyAlignment="1">
      <alignment horizontal="left"/>
    </xf>
    <xf numFmtId="0" fontId="28" fillId="3" borderId="15" xfId="0" applyFont="1" applyFill="1" applyBorder="1" applyAlignment="1">
      <alignment horizontal="center" vertical="center"/>
    </xf>
    <xf numFmtId="0" fontId="28" fillId="3" borderId="17" xfId="0" applyFont="1" applyFill="1" applyBorder="1" applyAlignment="1">
      <alignment horizontal="center" vertical="center"/>
    </xf>
    <xf numFmtId="0" fontId="27" fillId="38" borderId="12" xfId="0" applyFont="1" applyFill="1" applyBorder="1" applyAlignment="1">
      <alignment horizontal="left" vertical="top" wrapText="1"/>
    </xf>
    <xf numFmtId="0" fontId="27" fillId="38" borderId="25" xfId="0" applyFont="1" applyFill="1" applyBorder="1" applyAlignment="1">
      <alignment horizontal="left" vertical="top" wrapText="1"/>
    </xf>
    <xf numFmtId="0" fontId="27" fillId="38" borderId="13" xfId="0" applyFont="1" applyFill="1" applyBorder="1" applyAlignment="1">
      <alignment horizontal="left" vertical="top" wrapText="1"/>
    </xf>
    <xf numFmtId="0" fontId="30" fillId="45" borderId="19" xfId="0" applyFont="1" applyFill="1" applyBorder="1" applyAlignment="1">
      <alignment horizontal="center" vertical="center"/>
    </xf>
    <xf numFmtId="0" fontId="30" fillId="45" borderId="22" xfId="0" applyFont="1" applyFill="1" applyBorder="1" applyAlignment="1">
      <alignment horizontal="center" vertical="center"/>
    </xf>
    <xf numFmtId="0" fontId="11" fillId="36" borderId="0" xfId="0" applyFont="1" applyFill="1" applyAlignment="1">
      <alignment horizontal="left" vertical="top"/>
    </xf>
    <xf numFmtId="0" fontId="1" fillId="38" borderId="12" xfId="0" applyFont="1" applyFill="1" applyBorder="1" applyAlignment="1">
      <alignment horizontal="right"/>
    </xf>
    <xf numFmtId="0" fontId="1" fillId="38" borderId="13" xfId="0" applyFont="1" applyFill="1" applyBorder="1" applyAlignment="1">
      <alignment horizontal="right"/>
    </xf>
    <xf numFmtId="0" fontId="5" fillId="18" borderId="23" xfId="0" applyFont="1" applyFill="1" applyBorder="1" applyAlignment="1">
      <alignment horizontal="right"/>
    </xf>
    <xf numFmtId="0" fontId="5" fillId="18" borderId="24" xfId="0" applyFont="1" applyFill="1" applyBorder="1" applyAlignment="1">
      <alignment horizontal="right"/>
    </xf>
    <xf numFmtId="0" fontId="5" fillId="18" borderId="34" xfId="0" applyFont="1" applyFill="1" applyBorder="1" applyAlignment="1">
      <alignment horizontal="right"/>
    </xf>
    <xf numFmtId="0" fontId="5" fillId="18" borderId="36" xfId="0" applyFont="1" applyFill="1" applyBorder="1" applyAlignment="1">
      <alignment horizontal="right"/>
    </xf>
    <xf numFmtId="0" fontId="6" fillId="38" borderId="14" xfId="0" applyFont="1" applyFill="1" applyBorder="1" applyAlignment="1">
      <alignment horizontal="center" vertical="center"/>
    </xf>
    <xf numFmtId="0" fontId="6" fillId="38" borderId="19" xfId="0" applyFont="1" applyFill="1" applyBorder="1" applyAlignment="1">
      <alignment horizontal="center" vertical="center"/>
    </xf>
    <xf numFmtId="0" fontId="6" fillId="38" borderId="37" xfId="0" applyFont="1" applyFill="1" applyBorder="1" applyAlignment="1">
      <alignment horizontal="center" vertical="center"/>
    </xf>
    <xf numFmtId="0" fontId="6" fillId="38" borderId="22" xfId="0" applyFont="1" applyFill="1" applyBorder="1" applyAlignment="1">
      <alignment horizontal="center" vertical="center"/>
    </xf>
    <xf numFmtId="0" fontId="5" fillId="18" borderId="38" xfId="0" applyFont="1" applyFill="1" applyBorder="1" applyAlignment="1">
      <alignment horizontal="right"/>
    </xf>
    <xf numFmtId="0" fontId="5" fillId="18" borderId="39" xfId="0" applyFont="1" applyFill="1" applyBorder="1" applyAlignment="1">
      <alignment horizontal="right"/>
    </xf>
    <xf numFmtId="0" fontId="6" fillId="18" borderId="14" xfId="0" applyFont="1" applyFill="1" applyBorder="1" applyAlignment="1">
      <alignment horizontal="center" vertical="center"/>
    </xf>
    <xf numFmtId="0" fontId="6" fillId="18" borderId="19" xfId="0" applyFont="1" applyFill="1" applyBorder="1" applyAlignment="1">
      <alignment horizontal="center" vertical="center"/>
    </xf>
    <xf numFmtId="0" fontId="6" fillId="18" borderId="37" xfId="0" applyFont="1" applyFill="1" applyBorder="1" applyAlignment="1">
      <alignment horizontal="center" vertical="center"/>
    </xf>
    <xf numFmtId="0" fontId="6" fillId="18" borderId="22" xfId="0" applyFont="1" applyFill="1" applyBorder="1" applyAlignment="1">
      <alignment horizontal="center" vertical="center"/>
    </xf>
    <xf numFmtId="0" fontId="5" fillId="18" borderId="31" xfId="0" applyFont="1" applyFill="1" applyBorder="1" applyAlignment="1">
      <alignment horizontal="right"/>
    </xf>
    <xf numFmtId="0" fontId="5" fillId="18" borderId="33" xfId="0" applyFont="1" applyFill="1" applyBorder="1" applyAlignment="1">
      <alignment horizontal="right"/>
    </xf>
    <xf numFmtId="0" fontId="16" fillId="42" borderId="23" xfId="0" applyFont="1" applyFill="1" applyBorder="1" applyAlignment="1">
      <alignment horizontal="left" vertical="center"/>
    </xf>
    <xf numFmtId="0" fontId="16" fillId="42" borderId="30" xfId="0" applyFont="1" applyFill="1" applyBorder="1" applyAlignment="1">
      <alignment horizontal="left" vertical="center"/>
    </xf>
    <xf numFmtId="0" fontId="16" fillId="42" borderId="24" xfId="0" applyFont="1" applyFill="1" applyBorder="1" applyAlignment="1">
      <alignment horizontal="left" vertical="center"/>
    </xf>
    <xf numFmtId="0" fontId="25" fillId="42" borderId="11" xfId="0" applyFont="1" applyFill="1" applyBorder="1" applyAlignment="1">
      <alignment horizontal="right"/>
    </xf>
    <xf numFmtId="0" fontId="25" fillId="42" borderId="20" xfId="0" applyFont="1" applyFill="1" applyBorder="1" applyAlignment="1">
      <alignment horizontal="right"/>
    </xf>
    <xf numFmtId="0" fontId="16" fillId="42" borderId="40" xfId="0" applyFont="1" applyFill="1" applyBorder="1" applyAlignment="1">
      <alignment horizontal="right"/>
    </xf>
    <xf numFmtId="0" fontId="16" fillId="42" borderId="41" xfId="0" applyFont="1" applyFill="1" applyBorder="1" applyAlignment="1">
      <alignment horizontal="right"/>
    </xf>
    <xf numFmtId="0" fontId="15" fillId="42" borderId="21" xfId="0" applyFont="1" applyFill="1" applyBorder="1" applyAlignment="1">
      <alignment horizontal="center"/>
    </xf>
    <xf numFmtId="0" fontId="17" fillId="39" borderId="23" xfId="0" applyFont="1" applyFill="1" applyBorder="1" applyAlignment="1">
      <alignment horizontal="left" vertical="center" wrapText="1"/>
    </xf>
    <xf numFmtId="0" fontId="17" fillId="39" borderId="30" xfId="0" applyFont="1" applyFill="1" applyBorder="1" applyAlignment="1">
      <alignment horizontal="left" vertical="center" wrapText="1"/>
    </xf>
    <xf numFmtId="0" fontId="17" fillId="39" borderId="24"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7" fillId="39" borderId="38" xfId="0" applyFont="1" applyFill="1" applyBorder="1" applyAlignment="1">
      <alignment horizontal="left" vertical="center" wrapText="1"/>
    </xf>
    <xf numFmtId="0" fontId="17" fillId="39"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0475"/>
          <c:w val="0.691"/>
          <c:h val="0.999"/>
        </c:manualLayout>
      </c:layout>
      <c:barChart>
        <c:barDir val="col"/>
        <c:grouping val="clustered"/>
        <c:varyColors val="0"/>
        <c:ser>
          <c:idx val="0"/>
          <c:order val="0"/>
          <c:tx>
            <c:v>Matières premières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Carbone'!$C$17</c:f>
              <c:numCache/>
            </c:numRef>
          </c:val>
        </c:ser>
        <c:ser>
          <c:idx val="1"/>
          <c:order val="1"/>
          <c:tx>
            <c:v>Fabrication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Carbone'!$D$7</c:f>
              <c:numCache/>
            </c:numRef>
          </c:val>
        </c:ser>
        <c:ser>
          <c:idx val="2"/>
          <c:order val="2"/>
          <c:tx>
            <c:v>Distribution</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Carbone'!$G$3</c:f>
              <c:numCache/>
            </c:numRef>
          </c:val>
        </c:ser>
        <c:ser>
          <c:idx val="3"/>
          <c:order val="3"/>
          <c:tx>
            <c:v>Energies fossiles</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Carbone'!$C$22</c:f>
              <c:numCache/>
            </c:numRef>
          </c:val>
        </c:ser>
        <c:ser>
          <c:idx val="4"/>
          <c:order val="4"/>
          <c:tx>
            <c:v>Utilisation du produit</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Carbone'!$I$13</c:f>
              <c:numCache/>
            </c:numRef>
          </c:val>
        </c:ser>
        <c:ser>
          <c:idx val="5"/>
          <c:order val="5"/>
          <c:tx>
            <c:v>Valorisation des emballages et du produit usagé</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Graphe de répartition de l’Analyse Carbone suivant les étapes du Cycle de Vie du produit</c:v>
              </c:pt>
            </c:strLit>
          </c:cat>
          <c:val>
            <c:numRef>
              <c:f>'Analyse Carbone'!$H$29</c:f>
              <c:numCache/>
            </c:numRef>
          </c:val>
        </c:ser>
        <c:axId val="22888889"/>
        <c:axId val="4673410"/>
      </c:barChart>
      <c:catAx>
        <c:axId val="228888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000000"/>
                </a:solidFill>
              </a:defRPr>
            </a:pPr>
          </a:p>
        </c:txPr>
        <c:crossAx val="4673410"/>
        <c:crosses val="autoZero"/>
        <c:auto val="1"/>
        <c:lblOffset val="100"/>
        <c:tickLblSkip val="1"/>
        <c:noMultiLvlLbl val="0"/>
      </c:catAx>
      <c:valAx>
        <c:axId val="4673410"/>
        <c:scaling>
          <c:orientation val="minMax"/>
        </c:scaling>
        <c:axPos val="l"/>
        <c:title>
          <c:tx>
            <c:rich>
              <a:bodyPr vert="horz" rot="-5400000" anchor="ctr"/>
              <a:lstStyle/>
              <a:p>
                <a:pPr algn="ctr">
                  <a:defRPr/>
                </a:pPr>
                <a:r>
                  <a:rPr lang="en-US" cap="none" sz="1000" b="1" i="1" u="none" baseline="0">
                    <a:solidFill>
                      <a:srgbClr val="000000"/>
                    </a:solidFill>
                  </a:rPr>
                  <a:t>kg équ. C</a:t>
                </a:r>
              </a:p>
            </c:rich>
          </c:tx>
          <c:layout>
            <c:manualLayout>
              <c:xMode val="factor"/>
              <c:yMode val="factor"/>
              <c:x val="-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888889"/>
        <c:crossesAt val="1"/>
        <c:crossBetween val="between"/>
        <c:dispUnits/>
      </c:valAx>
      <c:spPr>
        <a:solidFill>
          <a:srgbClr val="FFFFFF"/>
        </a:solidFill>
        <a:ln w="12700">
          <a:solidFill>
            <a:srgbClr val="808080"/>
          </a:solidFill>
        </a:ln>
      </c:spPr>
    </c:plotArea>
    <c:legend>
      <c:legendPos val="r"/>
      <c:layout>
        <c:manualLayout>
          <c:xMode val="edge"/>
          <c:yMode val="edge"/>
          <c:x val="0.777"/>
          <c:y val="0.12475"/>
          <c:w val="0.2185"/>
          <c:h val="0.68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FFFF99"/>
        </a:gs>
        <a:gs pos="50000">
          <a:srgbClr val="FFFFF2"/>
        </a:gs>
        <a:gs pos="100000">
          <a:srgbClr val="FFFF99"/>
        </a:gs>
      </a:gsLst>
      <a:lin ang="5400000" scaled="1"/>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428625</xdr:colOff>
      <xdr:row>45</xdr:row>
      <xdr:rowOff>219075</xdr:rowOff>
    </xdr:from>
    <xdr:to>
      <xdr:col>9</xdr:col>
      <xdr:colOff>200025</xdr:colOff>
      <xdr:row>49</xdr:row>
      <xdr:rowOff>352425</xdr:rowOff>
    </xdr:to>
    <xdr:pic>
      <xdr:nvPicPr>
        <xdr:cNvPr id="1" name="Picture 41"/>
        <xdr:cNvPicPr preferRelativeResize="1">
          <a:picLocks noChangeAspect="1"/>
        </xdr:cNvPicPr>
      </xdr:nvPicPr>
      <xdr:blipFill>
        <a:blip r:embed="rId1"/>
        <a:srcRect l="13568" t="14999" r="4270" b="17999"/>
        <a:stretch>
          <a:fillRect/>
        </a:stretch>
      </xdr:blipFill>
      <xdr:spPr>
        <a:xfrm>
          <a:off x="6086475" y="8534400"/>
          <a:ext cx="1447800" cy="1781175"/>
        </a:xfrm>
        <a:prstGeom prst="rect">
          <a:avLst/>
        </a:prstGeom>
        <a:noFill/>
        <a:ln w="1" cmpd="sng">
          <a:noFill/>
        </a:ln>
      </xdr:spPr>
    </xdr:pic>
    <xdr:clientData/>
  </xdr:twoCellAnchor>
  <xdr:twoCellAnchor>
    <xdr:from>
      <xdr:col>3</xdr:col>
      <xdr:colOff>657225</xdr:colOff>
      <xdr:row>16</xdr:row>
      <xdr:rowOff>85725</xdr:rowOff>
    </xdr:from>
    <xdr:to>
      <xdr:col>5</xdr:col>
      <xdr:colOff>85725</xdr:colOff>
      <xdr:row>20</xdr:row>
      <xdr:rowOff>114300</xdr:rowOff>
    </xdr:to>
    <xdr:sp>
      <xdr:nvSpPr>
        <xdr:cNvPr id="2" name="AutoShape 24"/>
        <xdr:cNvSpPr>
          <a:spLocks/>
        </xdr:cNvSpPr>
      </xdr:nvSpPr>
      <xdr:spPr>
        <a:xfrm>
          <a:off x="2981325" y="2743200"/>
          <a:ext cx="1123950" cy="771525"/>
        </a:xfrm>
        <a:prstGeom prst="roundRect">
          <a:avLst/>
        </a:prstGeom>
        <a:noFill/>
        <a:ln w="3175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13</xdr:row>
      <xdr:rowOff>66675</xdr:rowOff>
    </xdr:from>
    <xdr:to>
      <xdr:col>3</xdr:col>
      <xdr:colOff>85725</xdr:colOff>
      <xdr:row>15</xdr:row>
      <xdr:rowOff>142875</xdr:rowOff>
    </xdr:to>
    <xdr:sp>
      <xdr:nvSpPr>
        <xdr:cNvPr id="3" name="Text Box 10"/>
        <xdr:cNvSpPr txBox="1">
          <a:spLocks noChangeArrowheads="1"/>
        </xdr:cNvSpPr>
      </xdr:nvSpPr>
      <xdr:spPr>
        <a:xfrm>
          <a:off x="1504950" y="2228850"/>
          <a:ext cx="904875" cy="4000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Matières 
</a:t>
          </a:r>
          <a:r>
            <a:rPr lang="en-US" cap="none" sz="1100" b="1" i="0" u="none" baseline="0">
              <a:solidFill>
                <a:srgbClr val="000080"/>
              </a:solidFill>
              <a:latin typeface="Verdana"/>
              <a:ea typeface="Verdana"/>
              <a:cs typeface="Verdana"/>
            </a:rPr>
            <a:t>premières
</a:t>
          </a:r>
          <a:r>
            <a:rPr lang="en-US" cap="none" sz="1000" b="0" i="0" u="none" baseline="0">
              <a:solidFill>
                <a:srgbClr val="000080"/>
              </a:solidFill>
              <a:latin typeface="Verdana"/>
              <a:ea typeface="Verdana"/>
              <a:cs typeface="Verdana"/>
            </a:rPr>
            <a:t>
</a:t>
          </a:r>
        </a:p>
      </xdr:txBody>
    </xdr:sp>
    <xdr:clientData/>
  </xdr:twoCellAnchor>
  <xdr:twoCellAnchor>
    <xdr:from>
      <xdr:col>2</xdr:col>
      <xdr:colOff>638175</xdr:colOff>
      <xdr:row>4</xdr:row>
      <xdr:rowOff>104775</xdr:rowOff>
    </xdr:from>
    <xdr:to>
      <xdr:col>4</xdr:col>
      <xdr:colOff>104775</xdr:colOff>
      <xdr:row>5</xdr:row>
      <xdr:rowOff>123825</xdr:rowOff>
    </xdr:to>
    <xdr:sp>
      <xdr:nvSpPr>
        <xdr:cNvPr id="4" name="Text Box 11"/>
        <xdr:cNvSpPr txBox="1">
          <a:spLocks noChangeArrowheads="1"/>
        </xdr:cNvSpPr>
      </xdr:nvSpPr>
      <xdr:spPr>
        <a:xfrm>
          <a:off x="2200275" y="771525"/>
          <a:ext cx="990600" cy="180975"/>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Fabrication</a:t>
          </a:r>
          <a:r>
            <a:rPr lang="en-US" cap="none" sz="1000" b="0" i="0" u="none" baseline="0">
              <a:solidFill>
                <a:srgbClr val="000080"/>
              </a:solidFill>
              <a:latin typeface="Verdana"/>
              <a:ea typeface="Verdana"/>
              <a:cs typeface="Verdana"/>
            </a:rPr>
            <a:t>
</a:t>
          </a:r>
        </a:p>
      </xdr:txBody>
    </xdr:sp>
    <xdr:clientData/>
  </xdr:twoCellAnchor>
  <xdr:twoCellAnchor>
    <xdr:from>
      <xdr:col>5</xdr:col>
      <xdr:colOff>647700</xdr:colOff>
      <xdr:row>0</xdr:row>
      <xdr:rowOff>104775</xdr:rowOff>
    </xdr:from>
    <xdr:to>
      <xdr:col>7</xdr:col>
      <xdr:colOff>104775</xdr:colOff>
      <xdr:row>1</xdr:row>
      <xdr:rowOff>152400</xdr:rowOff>
    </xdr:to>
    <xdr:sp>
      <xdr:nvSpPr>
        <xdr:cNvPr id="5" name="Text Box 12"/>
        <xdr:cNvSpPr txBox="1">
          <a:spLocks noChangeArrowheads="1"/>
        </xdr:cNvSpPr>
      </xdr:nvSpPr>
      <xdr:spPr>
        <a:xfrm>
          <a:off x="4667250" y="104775"/>
          <a:ext cx="1095375" cy="2095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Distribution</a:t>
          </a:r>
          <a:r>
            <a:rPr lang="en-US" cap="none" sz="1000" b="0" i="0" u="none" baseline="0">
              <a:solidFill>
                <a:srgbClr val="000080"/>
              </a:solidFill>
              <a:latin typeface="Verdana"/>
              <a:ea typeface="Verdana"/>
              <a:cs typeface="Verdana"/>
            </a:rPr>
            <a:t>
</a:t>
          </a:r>
        </a:p>
      </xdr:txBody>
    </xdr:sp>
    <xdr:clientData/>
  </xdr:twoCellAnchor>
  <xdr:twoCellAnchor>
    <xdr:from>
      <xdr:col>7</xdr:col>
      <xdr:colOff>676275</xdr:colOff>
      <xdr:row>9</xdr:row>
      <xdr:rowOff>85725</xdr:rowOff>
    </xdr:from>
    <xdr:to>
      <xdr:col>9</xdr:col>
      <xdr:colOff>95250</xdr:colOff>
      <xdr:row>11</xdr:row>
      <xdr:rowOff>133350</xdr:rowOff>
    </xdr:to>
    <xdr:sp>
      <xdr:nvSpPr>
        <xdr:cNvPr id="6" name="Text Box 13"/>
        <xdr:cNvSpPr txBox="1">
          <a:spLocks noChangeArrowheads="1"/>
        </xdr:cNvSpPr>
      </xdr:nvSpPr>
      <xdr:spPr>
        <a:xfrm>
          <a:off x="6334125" y="1581150"/>
          <a:ext cx="1095375" cy="371475"/>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Utilisation 
</a:t>
          </a:r>
          <a:r>
            <a:rPr lang="en-US" cap="none" sz="1100" b="1" i="0" u="none" baseline="0">
              <a:solidFill>
                <a:srgbClr val="000080"/>
              </a:solidFill>
              <a:latin typeface="Verdana"/>
              <a:ea typeface="Verdana"/>
              <a:cs typeface="Verdana"/>
            </a:rPr>
            <a:t>du produit</a:t>
          </a:r>
          <a:r>
            <a:rPr lang="en-US" cap="none" sz="1000" b="0" i="0" u="none" baseline="0">
              <a:solidFill>
                <a:srgbClr val="000080"/>
              </a:solidFill>
              <a:latin typeface="Verdana"/>
              <a:ea typeface="Verdana"/>
              <a:cs typeface="Verdana"/>
            </a:rPr>
            <a:t>
</a:t>
          </a:r>
        </a:p>
      </xdr:txBody>
    </xdr:sp>
    <xdr:clientData/>
  </xdr:twoCellAnchor>
  <xdr:twoCellAnchor>
    <xdr:from>
      <xdr:col>6</xdr:col>
      <xdr:colOff>523875</xdr:colOff>
      <xdr:row>24</xdr:row>
      <xdr:rowOff>95250</xdr:rowOff>
    </xdr:from>
    <xdr:to>
      <xdr:col>8</xdr:col>
      <xdr:colOff>390525</xdr:colOff>
      <xdr:row>27</xdr:row>
      <xdr:rowOff>161925</xdr:rowOff>
    </xdr:to>
    <xdr:sp>
      <xdr:nvSpPr>
        <xdr:cNvPr id="7" name="Text Box 14"/>
        <xdr:cNvSpPr txBox="1">
          <a:spLocks noChangeArrowheads="1"/>
        </xdr:cNvSpPr>
      </xdr:nvSpPr>
      <xdr:spPr>
        <a:xfrm>
          <a:off x="5305425" y="4162425"/>
          <a:ext cx="1504950" cy="552450"/>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Valorisation des emballages et du produit usagé</a:t>
          </a:r>
          <a:r>
            <a:rPr lang="en-US" cap="none" sz="1000" b="0" i="0" u="none" baseline="0">
              <a:solidFill>
                <a:srgbClr val="000080"/>
              </a:solidFill>
              <a:latin typeface="Verdana"/>
              <a:ea typeface="Verdana"/>
              <a:cs typeface="Verdana"/>
            </a:rPr>
            <a:t>
</a:t>
          </a:r>
        </a:p>
      </xdr:txBody>
    </xdr:sp>
    <xdr:clientData/>
  </xdr:twoCellAnchor>
  <xdr:twoCellAnchor>
    <xdr:from>
      <xdr:col>3</xdr:col>
      <xdr:colOff>200025</xdr:colOff>
      <xdr:row>4</xdr:row>
      <xdr:rowOff>142875</xdr:rowOff>
    </xdr:from>
    <xdr:to>
      <xdr:col>7</xdr:col>
      <xdr:colOff>571500</xdr:colOff>
      <xdr:row>26</xdr:row>
      <xdr:rowOff>0</xdr:rowOff>
    </xdr:to>
    <xdr:grpSp>
      <xdr:nvGrpSpPr>
        <xdr:cNvPr id="8" name="Group 17"/>
        <xdr:cNvGrpSpPr>
          <a:grpSpLocks/>
        </xdr:cNvGrpSpPr>
      </xdr:nvGrpSpPr>
      <xdr:grpSpPr>
        <a:xfrm>
          <a:off x="2524125" y="809625"/>
          <a:ext cx="3705225" cy="3581400"/>
          <a:chOff x="276" y="91"/>
          <a:chExt cx="359" cy="363"/>
        </a:xfrm>
        <a:solidFill>
          <a:srgbClr val="FFFFFF"/>
        </a:solidFill>
      </xdr:grpSpPr>
      <xdr:sp>
        <xdr:nvSpPr>
          <xdr:cNvPr id="9" name="Oval 2"/>
          <xdr:cNvSpPr>
            <a:spLocks/>
          </xdr:cNvSpPr>
        </xdr:nvSpPr>
        <xdr:spPr>
          <a:xfrm>
            <a:off x="276" y="91"/>
            <a:ext cx="359" cy="363"/>
          </a:xfrm>
          <a:prstGeom prst="ellipse">
            <a:avLst/>
          </a:prstGeom>
          <a:noFill/>
          <a:ln w="444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3"/>
          <xdr:cNvSpPr>
            <a:spLocks/>
          </xdr:cNvSpPr>
        </xdr:nvSpPr>
        <xdr:spPr>
          <a:xfrm flipV="1">
            <a:off x="278" y="205"/>
            <a:ext cx="10" cy="32"/>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4"/>
          <xdr:cNvSpPr>
            <a:spLocks/>
          </xdr:cNvSpPr>
        </xdr:nvSpPr>
        <xdr:spPr>
          <a:xfrm flipV="1">
            <a:off x="398" y="94"/>
            <a:ext cx="19" cy="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5"/>
          <xdr:cNvSpPr>
            <a:spLocks/>
          </xdr:cNvSpPr>
        </xdr:nvSpPr>
        <xdr:spPr>
          <a:xfrm>
            <a:off x="562" y="125"/>
            <a:ext cx="23" cy="2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6"/>
          <xdr:cNvSpPr>
            <a:spLocks/>
          </xdr:cNvSpPr>
        </xdr:nvSpPr>
        <xdr:spPr>
          <a:xfrm flipH="1">
            <a:off x="619" y="325"/>
            <a:ext cx="9" cy="26"/>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7"/>
          <xdr:cNvSpPr>
            <a:spLocks/>
          </xdr:cNvSpPr>
        </xdr:nvSpPr>
        <xdr:spPr>
          <a:xfrm flipH="1" flipV="1">
            <a:off x="317" y="387"/>
            <a:ext cx="13" cy="18"/>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439"/>
            <a:ext cx="61" cy="13"/>
          </a:xfrm>
          <a:prstGeom prst="line">
            <a:avLst/>
          </a:prstGeom>
          <a:noFill/>
          <a:ln w="4445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714375</xdr:colOff>
      <xdr:row>18</xdr:row>
      <xdr:rowOff>123825</xdr:rowOff>
    </xdr:from>
    <xdr:to>
      <xdr:col>3</xdr:col>
      <xdr:colOff>66675</xdr:colOff>
      <xdr:row>20</xdr:row>
      <xdr:rowOff>133350</xdr:rowOff>
    </xdr:to>
    <xdr:sp>
      <xdr:nvSpPr>
        <xdr:cNvPr id="16" name="Text Box 16"/>
        <xdr:cNvSpPr txBox="1">
          <a:spLocks noChangeArrowheads="1"/>
        </xdr:cNvSpPr>
      </xdr:nvSpPr>
      <xdr:spPr>
        <a:xfrm>
          <a:off x="1514475" y="3162300"/>
          <a:ext cx="876300" cy="371475"/>
        </a:xfrm>
        <a:prstGeom prst="rect">
          <a:avLst/>
        </a:prstGeom>
        <a:solidFill>
          <a:srgbClr val="FFFFFF"/>
        </a:solidFill>
        <a:ln w="9525" cmpd="sng">
          <a:noFill/>
        </a:ln>
      </xdr:spPr>
      <xdr:txBody>
        <a:bodyPr vertOverflow="clip" wrap="square" lIns="36576" tIns="22860" rIns="36576" bIns="0"/>
        <a:p>
          <a:pPr algn="ctr">
            <a:defRPr/>
          </a:pPr>
          <a:r>
            <a:rPr lang="en-US" cap="none" sz="1100" b="1" i="0" u="none" baseline="0">
              <a:solidFill>
                <a:srgbClr val="000080"/>
              </a:solidFill>
              <a:latin typeface="Verdana"/>
              <a:ea typeface="Verdana"/>
              <a:cs typeface="Verdana"/>
            </a:rPr>
            <a:t>Energies fossiles
</a:t>
          </a:r>
          <a:r>
            <a:rPr lang="en-US" cap="none" sz="1000" b="0" i="0" u="none" baseline="0">
              <a:solidFill>
                <a:srgbClr val="000080"/>
              </a:solidFill>
              <a:latin typeface="Verdana"/>
              <a:ea typeface="Verdana"/>
              <a:cs typeface="Verdana"/>
            </a:rPr>
            <a:t>
</a:t>
          </a:r>
        </a:p>
      </xdr:txBody>
    </xdr:sp>
    <xdr:clientData/>
  </xdr:twoCellAnchor>
  <xdr:twoCellAnchor>
    <xdr:from>
      <xdr:col>2</xdr:col>
      <xdr:colOff>647700</xdr:colOff>
      <xdr:row>4</xdr:row>
      <xdr:rowOff>66675</xdr:rowOff>
    </xdr:from>
    <xdr:to>
      <xdr:col>4</xdr:col>
      <xdr:colOff>104775</xdr:colOff>
      <xdr:row>8</xdr:row>
      <xdr:rowOff>66675</xdr:rowOff>
    </xdr:to>
    <xdr:sp>
      <xdr:nvSpPr>
        <xdr:cNvPr id="17" name="AutoShape 18"/>
        <xdr:cNvSpPr>
          <a:spLocks/>
        </xdr:cNvSpPr>
      </xdr:nvSpPr>
      <xdr:spPr>
        <a:xfrm>
          <a:off x="2209800" y="733425"/>
          <a:ext cx="981075" cy="666750"/>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0</xdr:row>
      <xdr:rowOff>38100</xdr:rowOff>
    </xdr:from>
    <xdr:to>
      <xdr:col>7</xdr:col>
      <xdr:colOff>76200</xdr:colOff>
      <xdr:row>4</xdr:row>
      <xdr:rowOff>66675</xdr:rowOff>
    </xdr:to>
    <xdr:sp>
      <xdr:nvSpPr>
        <xdr:cNvPr id="18" name="AutoShape 19"/>
        <xdr:cNvSpPr>
          <a:spLocks/>
        </xdr:cNvSpPr>
      </xdr:nvSpPr>
      <xdr:spPr>
        <a:xfrm>
          <a:off x="4695825" y="38100"/>
          <a:ext cx="1038225" cy="695325"/>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9</xdr:row>
      <xdr:rowOff>57150</xdr:rowOff>
    </xdr:from>
    <xdr:to>
      <xdr:col>9</xdr:col>
      <xdr:colOff>104775</xdr:colOff>
      <xdr:row>14</xdr:row>
      <xdr:rowOff>28575</xdr:rowOff>
    </xdr:to>
    <xdr:sp>
      <xdr:nvSpPr>
        <xdr:cNvPr id="19" name="AutoShape 20"/>
        <xdr:cNvSpPr>
          <a:spLocks/>
        </xdr:cNvSpPr>
      </xdr:nvSpPr>
      <xdr:spPr>
        <a:xfrm>
          <a:off x="6324600" y="1552575"/>
          <a:ext cx="1114425" cy="800100"/>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13</xdr:row>
      <xdr:rowOff>47625</xdr:rowOff>
    </xdr:from>
    <xdr:to>
      <xdr:col>3</xdr:col>
      <xdr:colOff>76200</xdr:colOff>
      <xdr:row>18</xdr:row>
      <xdr:rowOff>38100</xdr:rowOff>
    </xdr:to>
    <xdr:sp>
      <xdr:nvSpPr>
        <xdr:cNvPr id="20" name="AutoShape 21"/>
        <xdr:cNvSpPr>
          <a:spLocks/>
        </xdr:cNvSpPr>
      </xdr:nvSpPr>
      <xdr:spPr>
        <a:xfrm>
          <a:off x="1485900" y="2209800"/>
          <a:ext cx="914400" cy="866775"/>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104775</xdr:rowOff>
    </xdr:from>
    <xdr:to>
      <xdr:col>3</xdr:col>
      <xdr:colOff>76200</xdr:colOff>
      <xdr:row>23</xdr:row>
      <xdr:rowOff>47625</xdr:rowOff>
    </xdr:to>
    <xdr:sp>
      <xdr:nvSpPr>
        <xdr:cNvPr id="21" name="AutoShape 22"/>
        <xdr:cNvSpPr>
          <a:spLocks/>
        </xdr:cNvSpPr>
      </xdr:nvSpPr>
      <xdr:spPr>
        <a:xfrm>
          <a:off x="1476375" y="3143250"/>
          <a:ext cx="923925" cy="809625"/>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24</xdr:row>
      <xdr:rowOff>66675</xdr:rowOff>
    </xdr:from>
    <xdr:to>
      <xdr:col>8</xdr:col>
      <xdr:colOff>342900</xdr:colOff>
      <xdr:row>30</xdr:row>
      <xdr:rowOff>28575</xdr:rowOff>
    </xdr:to>
    <xdr:sp>
      <xdr:nvSpPr>
        <xdr:cNvPr id="22" name="AutoShape 23"/>
        <xdr:cNvSpPr>
          <a:spLocks/>
        </xdr:cNvSpPr>
      </xdr:nvSpPr>
      <xdr:spPr>
        <a:xfrm>
          <a:off x="5343525" y="4133850"/>
          <a:ext cx="1419225" cy="952500"/>
        </a:xfrm>
        <a:prstGeom prst="roundRect">
          <a:avLst/>
        </a:prstGeom>
        <a:noFill/>
        <a:ln w="1587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16</xdr:row>
      <xdr:rowOff>85725</xdr:rowOff>
    </xdr:from>
    <xdr:to>
      <xdr:col>7</xdr:col>
      <xdr:colOff>85725</xdr:colOff>
      <xdr:row>20</xdr:row>
      <xdr:rowOff>114300</xdr:rowOff>
    </xdr:to>
    <xdr:sp>
      <xdr:nvSpPr>
        <xdr:cNvPr id="23" name="AutoShape 25"/>
        <xdr:cNvSpPr>
          <a:spLocks/>
        </xdr:cNvSpPr>
      </xdr:nvSpPr>
      <xdr:spPr>
        <a:xfrm>
          <a:off x="4686300" y="2743200"/>
          <a:ext cx="1057275" cy="771525"/>
        </a:xfrm>
        <a:prstGeom prst="roundRect">
          <a:avLst/>
        </a:prstGeom>
        <a:noFill/>
        <a:ln w="317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10</xdr:row>
      <xdr:rowOff>38100</xdr:rowOff>
    </xdr:from>
    <xdr:to>
      <xdr:col>7</xdr:col>
      <xdr:colOff>333375</xdr:colOff>
      <xdr:row>14</xdr:row>
      <xdr:rowOff>142875</xdr:rowOff>
    </xdr:to>
    <xdr:sp>
      <xdr:nvSpPr>
        <xdr:cNvPr id="24" name="AutoShape 27"/>
        <xdr:cNvSpPr>
          <a:spLocks/>
        </xdr:cNvSpPr>
      </xdr:nvSpPr>
      <xdr:spPr>
        <a:xfrm>
          <a:off x="2752725" y="1695450"/>
          <a:ext cx="3238500" cy="771525"/>
        </a:xfrm>
        <a:prstGeom prst="roundRect">
          <a:avLst/>
        </a:prstGeom>
        <a:gradFill rotWithShape="1">
          <a:gsLst>
            <a:gs pos="0">
              <a:srgbClr val="808000"/>
            </a:gs>
            <a:gs pos="50000">
              <a:srgbClr val="3B3B00"/>
            </a:gs>
            <a:gs pos="100000">
              <a:srgbClr val="808000"/>
            </a:gs>
          </a:gsLst>
          <a:lin ang="5400000" scaled="1"/>
        </a:gradFill>
        <a:ln w="31750" cmpd="sng">
          <a:solidFill>
            <a:srgbClr val="003300"/>
          </a:solidFill>
          <a:headEnd type="none"/>
          <a:tailEnd type="none"/>
        </a:ln>
      </xdr:spPr>
      <xdr:txBody>
        <a:bodyPr vertOverflow="clip" wrap="square" lIns="36576" tIns="22860" rIns="36576" bIns="0"/>
        <a:p>
          <a:pPr algn="ctr">
            <a:defRPr/>
          </a:pPr>
          <a:r>
            <a:rPr lang="en-US" cap="none" sz="1200" b="1" i="0" u="none" baseline="0">
              <a:solidFill>
                <a:srgbClr val="003300"/>
              </a:solidFill>
            </a:rPr>
            <a:t>ANALYSE CARBONE
</a:t>
          </a:r>
          <a:r>
            <a:rPr lang="en-US" cap="none" sz="1200" b="1" i="0" u="none" baseline="0">
              <a:solidFill>
                <a:srgbClr val="003300"/>
              </a:solidFill>
            </a:rPr>
            <a:t>du CYCLE de VIE du :
</a:t>
          </a:r>
          <a:r>
            <a:rPr lang="en-US" cap="none" sz="1200" b="1" i="0" u="none" baseline="0">
              <a:solidFill>
                <a:srgbClr val="003300"/>
              </a:solidFil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0</xdr:row>
      <xdr:rowOff>76200</xdr:rowOff>
    </xdr:from>
    <xdr:to>
      <xdr:col>2</xdr:col>
      <xdr:colOff>390525</xdr:colOff>
      <xdr:row>5</xdr:row>
      <xdr:rowOff>95250</xdr:rowOff>
    </xdr:to>
    <xdr:sp>
      <xdr:nvSpPr>
        <xdr:cNvPr id="25" name="AutoShape 32"/>
        <xdr:cNvSpPr>
          <a:spLocks/>
        </xdr:cNvSpPr>
      </xdr:nvSpPr>
      <xdr:spPr>
        <a:xfrm>
          <a:off x="76200" y="76200"/>
          <a:ext cx="1876425" cy="847725"/>
        </a:xfrm>
        <a:prstGeom prst="roundRect">
          <a:avLst/>
        </a:prstGeom>
        <a:gradFill rotWithShape="1">
          <a:gsLst>
            <a:gs pos="0">
              <a:srgbClr val="6600FF"/>
            </a:gs>
            <a:gs pos="50000">
              <a:srgbClr val="CCCCFF"/>
            </a:gs>
            <a:gs pos="100000">
              <a:srgbClr val="6600FF"/>
            </a:gs>
          </a:gsLst>
          <a:lin ang="5400000" scaled="1"/>
        </a:gradFill>
        <a:ln w="22225" cmpd="sng">
          <a:solidFill>
            <a:srgbClr val="000080"/>
          </a:solidFill>
          <a:headEnd type="none"/>
          <a:tailEnd type="none"/>
        </a:ln>
      </xdr:spPr>
      <xdr:txBody>
        <a:bodyPr vertOverflow="clip" wrap="square" lIns="45720" tIns="27432" rIns="45720" bIns="0"/>
        <a:p>
          <a:pPr algn="ctr">
            <a:defRPr/>
          </a:pPr>
          <a:r>
            <a:rPr lang="en-US" cap="none" sz="1400" b="1" i="0" u="none" baseline="0">
              <a:solidFill>
                <a:srgbClr val="000080"/>
              </a:solidFill>
            </a:rPr>
            <a:t>COMPTEUR 
</a:t>
          </a:r>
          <a:r>
            <a:rPr lang="en-US" cap="none" sz="1400" b="1" i="0" u="none" baseline="0">
              <a:solidFill>
                <a:srgbClr val="000080"/>
              </a:solidFill>
            </a:rPr>
            <a:t>ANALYSE CARBONE</a:t>
          </a:r>
        </a:p>
      </xdr:txBody>
    </xdr:sp>
    <xdr:clientData/>
  </xdr:twoCellAnchor>
  <xdr:twoCellAnchor>
    <xdr:from>
      <xdr:col>0</xdr:col>
      <xdr:colOff>95250</xdr:colOff>
      <xdr:row>29</xdr:row>
      <xdr:rowOff>38100</xdr:rowOff>
    </xdr:from>
    <xdr:to>
      <xdr:col>3</xdr:col>
      <xdr:colOff>361950</xdr:colOff>
      <xdr:row>35</xdr:row>
      <xdr:rowOff>104775</xdr:rowOff>
    </xdr:to>
    <xdr:sp>
      <xdr:nvSpPr>
        <xdr:cNvPr id="26" name="AutoShape 33"/>
        <xdr:cNvSpPr>
          <a:spLocks/>
        </xdr:cNvSpPr>
      </xdr:nvSpPr>
      <xdr:spPr>
        <a:xfrm>
          <a:off x="95250" y="4933950"/>
          <a:ext cx="2590800" cy="1038225"/>
        </a:xfrm>
        <a:prstGeom prst="roundRect">
          <a:avLst/>
        </a:prstGeom>
        <a:gradFill rotWithShape="1">
          <a:gsLst>
            <a:gs pos="0">
              <a:srgbClr val="008000"/>
            </a:gs>
            <a:gs pos="50000">
              <a:srgbClr val="99CC00"/>
            </a:gs>
            <a:gs pos="100000">
              <a:srgbClr val="008000"/>
            </a:gs>
          </a:gsLst>
          <a:lin ang="5400000" scaled="1"/>
        </a:gradFill>
        <a:ln w="22225" cmpd="sng">
          <a:solidFill>
            <a:srgbClr val="003300"/>
          </a:solidFill>
          <a:headEnd type="none"/>
          <a:tailEnd type="none"/>
        </a:ln>
      </xdr:spPr>
      <xdr:txBody>
        <a:bodyPr vertOverflow="clip" wrap="square" lIns="36576" tIns="27432" rIns="36576" bIns="0"/>
        <a:p>
          <a:pPr algn="ctr">
            <a:defRPr/>
          </a:pPr>
          <a:r>
            <a:rPr lang="en-US" cap="none" sz="1400" b="0" i="0" u="none" baseline="0">
              <a:solidFill>
                <a:srgbClr val="000000"/>
              </a:solidFill>
            </a:rPr>
            <a:t>
</a:t>
          </a:r>
          <a:r>
            <a:rPr lang="en-US" cap="none" sz="1400" b="1" i="0" u="none" baseline="0">
              <a:solidFill>
                <a:srgbClr val="FFFFFF"/>
              </a:solidFill>
            </a:rPr>
            <a:t>COMPTEUR 
</a:t>
          </a:r>
          <a:r>
            <a:rPr lang="en-US" cap="none" sz="1400" b="1" i="0" u="none" baseline="0">
              <a:solidFill>
                <a:srgbClr val="FFFFFF"/>
              </a:solidFill>
            </a:rPr>
            <a:t>EMPREINTE CARBONE</a:t>
          </a:r>
        </a:p>
      </xdr:txBody>
    </xdr:sp>
    <xdr:clientData/>
  </xdr:twoCellAnchor>
  <xdr:twoCellAnchor editAs="oneCell">
    <xdr:from>
      <xdr:col>0</xdr:col>
      <xdr:colOff>428625</xdr:colOff>
      <xdr:row>37</xdr:row>
      <xdr:rowOff>57150</xdr:rowOff>
    </xdr:from>
    <xdr:to>
      <xdr:col>1</xdr:col>
      <xdr:colOff>390525</xdr:colOff>
      <xdr:row>43</xdr:row>
      <xdr:rowOff>66675</xdr:rowOff>
    </xdr:to>
    <xdr:pic>
      <xdr:nvPicPr>
        <xdr:cNvPr id="27" name="Picture 34"/>
        <xdr:cNvPicPr preferRelativeResize="1">
          <a:picLocks noChangeAspect="1"/>
        </xdr:cNvPicPr>
      </xdr:nvPicPr>
      <xdr:blipFill>
        <a:blip r:embed="rId2"/>
        <a:stretch>
          <a:fillRect/>
        </a:stretch>
      </xdr:blipFill>
      <xdr:spPr>
        <a:xfrm>
          <a:off x="428625" y="6267450"/>
          <a:ext cx="762000" cy="1781175"/>
        </a:xfrm>
        <a:prstGeom prst="rect">
          <a:avLst/>
        </a:prstGeom>
        <a:noFill/>
        <a:ln w="9525" cmpd="sng">
          <a:noFill/>
        </a:ln>
      </xdr:spPr>
    </xdr:pic>
    <xdr:clientData/>
  </xdr:twoCellAnchor>
  <xdr:twoCellAnchor>
    <xdr:from>
      <xdr:col>9</xdr:col>
      <xdr:colOff>9525</xdr:colOff>
      <xdr:row>47</xdr:row>
      <xdr:rowOff>647700</xdr:rowOff>
    </xdr:from>
    <xdr:to>
      <xdr:col>11</xdr:col>
      <xdr:colOff>66675</xdr:colOff>
      <xdr:row>53</xdr:row>
      <xdr:rowOff>38100</xdr:rowOff>
    </xdr:to>
    <xdr:sp>
      <xdr:nvSpPr>
        <xdr:cNvPr id="28" name="AutoShape 39"/>
        <xdr:cNvSpPr>
          <a:spLocks/>
        </xdr:cNvSpPr>
      </xdr:nvSpPr>
      <xdr:spPr>
        <a:xfrm>
          <a:off x="7343775" y="9401175"/>
          <a:ext cx="1952625" cy="1524000"/>
        </a:xfrm>
        <a:prstGeom prst="roundRect">
          <a:avLst/>
        </a:prstGeom>
        <a:solidFill>
          <a:srgbClr val="CCCC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rPr>
            <a:t>Que représente cette mongolfière ?</a:t>
          </a:r>
          <a:r>
            <a:rPr lang="en-US" cap="none" sz="1000" b="0" i="0" u="none" baseline="0">
              <a:solidFill>
                <a:srgbClr val="000000"/>
              </a:solidFill>
            </a:rPr>
            <a:t>
</a:t>
          </a:r>
          <a:r>
            <a:rPr lang="en-US" cap="none" sz="1000" b="0" i="1" u="sng" baseline="0">
              <a:solidFill>
                <a:srgbClr val="000000"/>
              </a:solidFill>
            </a:rPr>
            <a:t>Réponse :</a:t>
          </a:r>
          <a:r>
            <a:rPr lang="en-US" cap="none" sz="1000" b="0" i="0" u="none" baseline="0">
              <a:solidFill>
                <a:srgbClr val="000000"/>
              </a:solidFill>
            </a:rPr>
            <a:t> elle représente un volume équivalent à environ 1,5 tonne de CO2
</a:t>
          </a:r>
          <a:r>
            <a:rPr lang="en-US" cap="none" sz="1000" b="0" i="1" u="sng" baseline="0">
              <a:solidFill>
                <a:srgbClr val="000000"/>
              </a:solidFill>
            </a:rPr>
            <a:t>Remarque :</a:t>
          </a:r>
          <a:r>
            <a:rPr lang="en-US" cap="none" sz="1000" b="0" i="0" u="none" baseline="0">
              <a:solidFill>
                <a:srgbClr val="000000"/>
              </a:solidFill>
            </a:rPr>
            <a:t> un français émet 6,5 tonnes de CO2 par an (ou 4 mongolfières)</a:t>
          </a:r>
        </a:p>
      </xdr:txBody>
    </xdr:sp>
    <xdr:clientData/>
  </xdr:twoCellAnchor>
  <xdr:twoCellAnchor>
    <xdr:from>
      <xdr:col>10</xdr:col>
      <xdr:colOff>638175</xdr:colOff>
      <xdr:row>1</xdr:row>
      <xdr:rowOff>123825</xdr:rowOff>
    </xdr:from>
    <xdr:to>
      <xdr:col>18</xdr:col>
      <xdr:colOff>247650</xdr:colOff>
      <xdr:row>23</xdr:row>
      <xdr:rowOff>133350</xdr:rowOff>
    </xdr:to>
    <xdr:graphicFrame>
      <xdr:nvGraphicFramePr>
        <xdr:cNvPr id="29" name="Chart 40"/>
        <xdr:cNvGraphicFramePr/>
      </xdr:nvGraphicFramePr>
      <xdr:xfrm>
        <a:off x="8953500" y="285750"/>
        <a:ext cx="6191250" cy="3752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55</xdr:row>
      <xdr:rowOff>28575</xdr:rowOff>
    </xdr:from>
    <xdr:to>
      <xdr:col>7</xdr:col>
      <xdr:colOff>95250</xdr:colOff>
      <xdr:row>56</xdr:row>
      <xdr:rowOff>342900</xdr:rowOff>
    </xdr:to>
    <xdr:pic>
      <xdr:nvPicPr>
        <xdr:cNvPr id="1" name="Picture 35" descr="LMB"/>
        <xdr:cNvPicPr preferRelativeResize="1">
          <a:picLocks noChangeAspect="1"/>
        </xdr:cNvPicPr>
      </xdr:nvPicPr>
      <xdr:blipFill>
        <a:blip r:embed="rId1"/>
        <a:stretch>
          <a:fillRect/>
        </a:stretch>
      </xdr:blipFill>
      <xdr:spPr>
        <a:xfrm>
          <a:off x="8020050" y="10172700"/>
          <a:ext cx="7239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35</xdr:row>
      <xdr:rowOff>0</xdr:rowOff>
    </xdr:from>
    <xdr:to>
      <xdr:col>7</xdr:col>
      <xdr:colOff>85725</xdr:colOff>
      <xdr:row>36</xdr:row>
      <xdr:rowOff>314325</xdr:rowOff>
    </xdr:to>
    <xdr:pic>
      <xdr:nvPicPr>
        <xdr:cNvPr id="1" name="Picture 18" descr="LMB"/>
        <xdr:cNvPicPr preferRelativeResize="1">
          <a:picLocks noChangeAspect="1"/>
        </xdr:cNvPicPr>
      </xdr:nvPicPr>
      <xdr:blipFill>
        <a:blip r:embed="rId1"/>
        <a:stretch>
          <a:fillRect/>
        </a:stretch>
      </xdr:blipFill>
      <xdr:spPr>
        <a:xfrm>
          <a:off x="8601075" y="8705850"/>
          <a:ext cx="7239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114300</xdr:colOff>
      <xdr:row>140</xdr:row>
      <xdr:rowOff>152400</xdr:rowOff>
    </xdr:from>
    <xdr:to>
      <xdr:col>7</xdr:col>
      <xdr:colOff>76200</xdr:colOff>
      <xdr:row>143</xdr:row>
      <xdr:rowOff>57150</xdr:rowOff>
    </xdr:to>
    <xdr:pic>
      <xdr:nvPicPr>
        <xdr:cNvPr id="1" name="Picture 1" descr="LMB"/>
        <xdr:cNvPicPr preferRelativeResize="1">
          <a:picLocks noChangeAspect="1"/>
        </xdr:cNvPicPr>
      </xdr:nvPicPr>
      <xdr:blipFill>
        <a:blip r:embed="rId1"/>
        <a:stretch>
          <a:fillRect/>
        </a:stretch>
      </xdr:blipFill>
      <xdr:spPr>
        <a:xfrm>
          <a:off x="9334500" y="28032075"/>
          <a:ext cx="72390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103</xdr:row>
      <xdr:rowOff>47625</xdr:rowOff>
    </xdr:from>
    <xdr:to>
      <xdr:col>15</xdr:col>
      <xdr:colOff>942975</xdr:colOff>
      <xdr:row>105</xdr:row>
      <xdr:rowOff>123825</xdr:rowOff>
    </xdr:to>
    <xdr:pic>
      <xdr:nvPicPr>
        <xdr:cNvPr id="1" name="Picture 13" descr="LMB"/>
        <xdr:cNvPicPr preferRelativeResize="1">
          <a:picLocks noChangeAspect="1"/>
        </xdr:cNvPicPr>
      </xdr:nvPicPr>
      <xdr:blipFill>
        <a:blip r:embed="rId1"/>
        <a:stretch>
          <a:fillRect/>
        </a:stretch>
      </xdr:blipFill>
      <xdr:spPr>
        <a:xfrm>
          <a:off x="17659350" y="21821775"/>
          <a:ext cx="72390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26</xdr:row>
      <xdr:rowOff>104775</xdr:rowOff>
    </xdr:from>
    <xdr:to>
      <xdr:col>8</xdr:col>
      <xdr:colOff>209550</xdr:colOff>
      <xdr:row>27</xdr:row>
      <xdr:rowOff>219075</xdr:rowOff>
    </xdr:to>
    <xdr:pic>
      <xdr:nvPicPr>
        <xdr:cNvPr id="1" name="Picture 2" descr="LMB"/>
        <xdr:cNvPicPr preferRelativeResize="1">
          <a:picLocks noChangeAspect="1"/>
        </xdr:cNvPicPr>
      </xdr:nvPicPr>
      <xdr:blipFill>
        <a:blip r:embed="rId1"/>
        <a:stretch>
          <a:fillRect/>
        </a:stretch>
      </xdr:blipFill>
      <xdr:spPr>
        <a:xfrm>
          <a:off x="10944225" y="5314950"/>
          <a:ext cx="7239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62</xdr:row>
      <xdr:rowOff>304800</xdr:rowOff>
    </xdr:from>
    <xdr:to>
      <xdr:col>7</xdr:col>
      <xdr:colOff>323850</xdr:colOff>
      <xdr:row>65</xdr:row>
      <xdr:rowOff>76200</xdr:rowOff>
    </xdr:to>
    <xdr:pic>
      <xdr:nvPicPr>
        <xdr:cNvPr id="1" name="Picture 1" descr="LMB"/>
        <xdr:cNvPicPr preferRelativeResize="1">
          <a:picLocks noChangeAspect="1"/>
        </xdr:cNvPicPr>
      </xdr:nvPicPr>
      <xdr:blipFill>
        <a:blip r:embed="rId1"/>
        <a:stretch>
          <a:fillRect/>
        </a:stretch>
      </xdr:blipFill>
      <xdr:spPr>
        <a:xfrm>
          <a:off x="9458325" y="13277850"/>
          <a:ext cx="7239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nerationsfutures.com/compenser.html" TargetMode="External" /><Relationship Id="rId2" Type="http://schemas.openxmlformats.org/officeDocument/2006/relationships/hyperlink" Target="http://alba.jrc.it/vgas/virtualibrary/mainmenufr.swf" TargetMode="External" /><Relationship Id="rId3" Type="http://schemas.openxmlformats.org/officeDocument/2006/relationships/hyperlink" Target="http://alba.jrc.it/vgas/" TargetMode="External" /><Relationship Id="rId4" Type="http://schemas.openxmlformats.org/officeDocument/2006/relationships/hyperlink" Target="http://www.effet2serre.com/index.ht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iamichelin.fr/" TargetMode="External" /><Relationship Id="rId2" Type="http://schemas.openxmlformats.org/officeDocument/2006/relationships/hyperlink" Target="http://www.mappy.fr/" TargetMode="External" /><Relationship Id="rId3" Type="http://schemas.openxmlformats.org/officeDocument/2006/relationships/hyperlink" Target="http://www.infotrafic.fr/" TargetMode="External" /><Relationship Id="rId4" Type="http://schemas.openxmlformats.org/officeDocument/2006/relationships/hyperlink" Target="http://www.viamichelin.fr/" TargetMode="External" /><Relationship Id="rId5" Type="http://schemas.openxmlformats.org/officeDocument/2006/relationships/hyperlink" Target="http://www.mappy.fr/" TargetMode="External" /><Relationship Id="rId6" Type="http://schemas.openxmlformats.org/officeDocument/2006/relationships/hyperlink" Target="http://www.infotrafic.fr/" TargetMode="External" /><Relationship Id="rId7" Type="http://schemas.openxmlformats.org/officeDocument/2006/relationships/hyperlink" Target="http://www.abm.fr/avion/gvacodapt.html" TargetMode="External" /><Relationship Id="rId8" Type="http://schemas.openxmlformats.org/officeDocument/2006/relationships/hyperlink" Target="http://www.amadeus.net/" TargetMode="External" /><Relationship Id="rId9" Type="http://schemas.openxmlformats.org/officeDocument/2006/relationships/hyperlink" Target="http://landings.com/_landings/pages/search/rel-calc.html" TargetMode="External" /><Relationship Id="rId10" Type="http://schemas.openxmlformats.org/officeDocument/2006/relationships/hyperlink" Target="http://www.levoyageur.net/distan.php" TargetMode="External" /><Relationship Id="rId11" Type="http://schemas.openxmlformats.org/officeDocument/2006/relationships/hyperlink" Target="http://www.distances.com/" TargetMode="External" /><Relationship Id="rId12" Type="http://schemas.openxmlformats.org/officeDocument/2006/relationships/comments" Target="../comments5.xml" /><Relationship Id="rId13" Type="http://schemas.openxmlformats.org/officeDocument/2006/relationships/vmlDrawing" Target="../drawings/vmlDrawing5.vml" /><Relationship Id="rId14" Type="http://schemas.openxmlformats.org/officeDocument/2006/relationships/drawing" Target="../drawings/drawing5.x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N97"/>
  <sheetViews>
    <sheetView tabSelected="1" zoomScalePageLayoutView="0" workbookViewId="0" topLeftCell="A1">
      <selection activeCell="J11" sqref="J11"/>
    </sheetView>
  </sheetViews>
  <sheetFormatPr defaultColWidth="11.421875" defaultRowHeight="12.75"/>
  <cols>
    <col min="1" max="1" width="12.00390625" style="0" customWidth="1"/>
    <col min="5" max="5" width="14.00390625" style="0" customWidth="1"/>
    <col min="7" max="7" width="13.140625" style="0" customWidth="1"/>
    <col min="9" max="9" width="13.7109375" style="0" customWidth="1"/>
    <col min="10" max="10" width="14.7109375" style="0" customWidth="1"/>
    <col min="11" max="11" width="13.7109375" style="130" customWidth="1"/>
    <col min="12" max="12" width="16.421875" style="130" customWidth="1"/>
    <col min="13" max="92" width="11.421875" style="130" customWidth="1"/>
  </cols>
  <sheetData>
    <row r="1" spans="1:10" ht="12.75">
      <c r="A1" s="130"/>
      <c r="B1" s="130"/>
      <c r="C1" s="130"/>
      <c r="D1" s="130"/>
      <c r="E1" s="130"/>
      <c r="F1" s="130"/>
      <c r="G1" s="130"/>
      <c r="H1" s="130"/>
      <c r="I1" s="130"/>
      <c r="J1" s="130"/>
    </row>
    <row r="2" spans="1:10" ht="13.5" thickBot="1">
      <c r="A2" s="130"/>
      <c r="B2" s="130"/>
      <c r="C2" s="130"/>
      <c r="D2" s="130"/>
      <c r="E2" s="130"/>
      <c r="F2" s="130"/>
      <c r="H2" s="130"/>
      <c r="I2" s="130"/>
      <c r="J2" s="130"/>
    </row>
    <row r="3" spans="1:10" ht="13.5" thickBot="1">
      <c r="A3" s="130"/>
      <c r="B3" s="130"/>
      <c r="C3" s="130"/>
      <c r="D3" s="130"/>
      <c r="E3" s="130"/>
      <c r="F3" s="130"/>
      <c r="G3" s="5">
        <f>Distribution!N106</f>
        <v>0</v>
      </c>
      <c r="H3" s="130"/>
      <c r="I3" s="130"/>
      <c r="J3" s="130"/>
    </row>
    <row r="4" spans="1:10" ht="12.75">
      <c r="A4" s="130"/>
      <c r="B4" s="130"/>
      <c r="C4" s="130"/>
      <c r="D4" s="130"/>
      <c r="E4" s="130"/>
      <c r="F4" s="130"/>
      <c r="G4" s="131" t="s">
        <v>1</v>
      </c>
      <c r="H4" s="130"/>
      <c r="I4" s="130"/>
      <c r="J4" s="130"/>
    </row>
    <row r="5" spans="1:10" ht="12.75">
      <c r="A5" s="130"/>
      <c r="B5" s="130"/>
      <c r="C5" s="130"/>
      <c r="D5" s="130"/>
      <c r="E5" s="130"/>
      <c r="F5" s="130"/>
      <c r="G5" s="130"/>
      <c r="H5" s="130"/>
      <c r="I5" s="130"/>
      <c r="J5" s="130"/>
    </row>
    <row r="6" spans="1:10" ht="13.5" thickBot="1">
      <c r="A6" s="130"/>
      <c r="B6" s="130"/>
      <c r="C6" s="130"/>
      <c r="D6" s="130"/>
      <c r="E6" s="130"/>
      <c r="F6" s="130"/>
      <c r="G6" s="130"/>
      <c r="H6" s="130"/>
      <c r="I6" s="130"/>
      <c r="J6" s="130"/>
    </row>
    <row r="7" spans="1:10" ht="13.5" thickBot="1">
      <c r="A7" s="130"/>
      <c r="B7" s="130"/>
      <c r="C7" s="130"/>
      <c r="D7" s="5">
        <f>Fabrication!F144</f>
        <v>0</v>
      </c>
      <c r="E7" s="130"/>
      <c r="F7" s="130"/>
      <c r="G7" s="130"/>
      <c r="H7" s="130"/>
      <c r="I7" s="130"/>
      <c r="J7" s="130"/>
    </row>
    <row r="8" spans="1:10" ht="12.75">
      <c r="A8" s="130"/>
      <c r="B8" s="130"/>
      <c r="C8" s="130"/>
      <c r="D8" s="131" t="s">
        <v>1</v>
      </c>
      <c r="E8" s="130"/>
      <c r="F8" s="130"/>
      <c r="G8" s="130"/>
      <c r="H8" s="130"/>
      <c r="I8" s="130"/>
      <c r="J8" s="130"/>
    </row>
    <row r="9" spans="1:10" ht="12.75">
      <c r="A9" s="130"/>
      <c r="B9" s="130"/>
      <c r="C9" s="130"/>
      <c r="D9" s="130"/>
      <c r="E9" s="130"/>
      <c r="F9" s="130"/>
      <c r="G9" s="130"/>
      <c r="H9" s="130"/>
      <c r="I9" s="130"/>
      <c r="J9" s="130"/>
    </row>
    <row r="10" spans="1:10" ht="12.75">
      <c r="A10" s="130"/>
      <c r="B10" s="130"/>
      <c r="C10" s="130"/>
      <c r="D10" s="130"/>
      <c r="E10" s="130"/>
      <c r="F10" s="130"/>
      <c r="G10" s="130"/>
      <c r="H10" s="130"/>
      <c r="I10" s="130"/>
      <c r="J10" s="130"/>
    </row>
    <row r="11" spans="1:10" ht="12.75">
      <c r="A11" s="130"/>
      <c r="B11" s="130"/>
      <c r="C11" s="130"/>
      <c r="D11" s="130"/>
      <c r="E11" s="130"/>
      <c r="F11" s="130"/>
      <c r="G11" s="130"/>
      <c r="H11" s="130"/>
      <c r="I11" s="130"/>
      <c r="J11" s="130"/>
    </row>
    <row r="12" spans="1:10" ht="13.5" thickBot="1">
      <c r="A12" s="130"/>
      <c r="B12" s="130"/>
      <c r="C12" s="130"/>
      <c r="D12" s="130"/>
      <c r="E12" s="130"/>
      <c r="F12" s="130"/>
      <c r="G12" s="130"/>
      <c r="H12" s="130"/>
      <c r="I12" s="130"/>
      <c r="J12" s="130"/>
    </row>
    <row r="13" spans="1:10" ht="13.5" thickBot="1">
      <c r="A13" s="130"/>
      <c r="B13" s="130"/>
      <c r="C13" s="130"/>
      <c r="D13" s="130"/>
      <c r="E13" s="130"/>
      <c r="F13" s="130"/>
      <c r="G13" s="130"/>
      <c r="H13" s="130"/>
      <c r="I13" s="5">
        <f>'Utilisation du produit'!G25</f>
        <v>0</v>
      </c>
      <c r="J13" s="130"/>
    </row>
    <row r="14" spans="1:10" ht="12.75">
      <c r="A14" s="130"/>
      <c r="B14" s="130"/>
      <c r="C14" s="130"/>
      <c r="D14" s="130"/>
      <c r="E14" s="130"/>
      <c r="F14" s="130"/>
      <c r="G14" s="130"/>
      <c r="H14" s="130"/>
      <c r="I14" s="131" t="s">
        <v>1</v>
      </c>
      <c r="J14" s="130"/>
    </row>
    <row r="15" spans="1:10" ht="12.75">
      <c r="A15" s="130"/>
      <c r="B15" s="130"/>
      <c r="C15" s="130"/>
      <c r="D15" s="130"/>
      <c r="E15" s="130"/>
      <c r="F15" s="130"/>
      <c r="G15" s="130"/>
      <c r="H15" s="130"/>
      <c r="I15" s="130"/>
      <c r="J15" s="130"/>
    </row>
    <row r="16" spans="1:10" ht="13.5" thickBot="1">
      <c r="A16" s="130"/>
      <c r="B16" s="130"/>
      <c r="C16" s="130"/>
      <c r="D16" s="130"/>
      <c r="E16" s="130"/>
      <c r="F16" s="130"/>
      <c r="G16" s="130"/>
      <c r="H16" s="130"/>
      <c r="I16" s="130"/>
      <c r="J16" s="130"/>
    </row>
    <row r="17" spans="1:10" ht="13.5" thickBot="1">
      <c r="A17" s="130"/>
      <c r="B17" s="130"/>
      <c r="C17" s="5">
        <f>'Matières premières'!F58</f>
        <v>0</v>
      </c>
      <c r="D17" s="130"/>
      <c r="E17" s="130"/>
      <c r="F17" s="130"/>
      <c r="G17" s="130"/>
      <c r="H17" s="130"/>
      <c r="I17" s="130"/>
      <c r="J17" s="130"/>
    </row>
    <row r="18" spans="1:10" ht="16.5" thickBot="1">
      <c r="A18" s="130"/>
      <c r="B18" s="130"/>
      <c r="C18" s="131" t="s">
        <v>1</v>
      </c>
      <c r="D18" s="130"/>
      <c r="E18" s="134" t="s">
        <v>54</v>
      </c>
      <c r="F18" s="130"/>
      <c r="G18" s="134" t="s">
        <v>54</v>
      </c>
      <c r="H18" s="130"/>
      <c r="I18" s="130"/>
      <c r="J18" s="130"/>
    </row>
    <row r="19" spans="1:10" ht="15.75" thickBot="1">
      <c r="A19" s="130"/>
      <c r="B19" s="130"/>
      <c r="C19" s="132"/>
      <c r="D19" s="130"/>
      <c r="E19" s="138">
        <f>C22+C17+D7+G3+I13+H29</f>
        <v>0</v>
      </c>
      <c r="F19" s="130"/>
      <c r="G19" s="137">
        <f>E19*3.67</f>
        <v>0</v>
      </c>
      <c r="H19" s="130"/>
      <c r="I19" s="130"/>
      <c r="J19" s="130"/>
    </row>
    <row r="20" spans="1:10" ht="12.75">
      <c r="A20" s="130"/>
      <c r="B20" s="130"/>
      <c r="C20" s="133"/>
      <c r="D20" s="130"/>
      <c r="E20" s="131" t="s">
        <v>1</v>
      </c>
      <c r="F20" s="130"/>
      <c r="G20" s="135" t="s">
        <v>258</v>
      </c>
      <c r="H20" s="130"/>
      <c r="I20" s="130"/>
      <c r="J20" s="130"/>
    </row>
    <row r="21" spans="1:10" ht="13.5" thickBot="1">
      <c r="A21" s="130"/>
      <c r="B21" s="130"/>
      <c r="C21" s="130"/>
      <c r="D21" s="130"/>
      <c r="E21" s="130"/>
      <c r="F21" s="130"/>
      <c r="G21" s="130"/>
      <c r="H21" s="130"/>
      <c r="I21" s="130"/>
      <c r="J21" s="130"/>
    </row>
    <row r="22" spans="1:10" ht="13.5" thickBot="1">
      <c r="A22" s="130"/>
      <c r="B22" s="130"/>
      <c r="C22" s="5">
        <f>'Energies fossiles'!F38</f>
        <v>0</v>
      </c>
      <c r="D22" s="130"/>
      <c r="E22" s="130"/>
      <c r="F22" s="130"/>
      <c r="G22" s="130"/>
      <c r="H22" s="130"/>
      <c r="I22" s="130"/>
      <c r="J22" s="130"/>
    </row>
    <row r="23" spans="1:10" ht="12.75">
      <c r="A23" s="130"/>
      <c r="B23" s="130"/>
      <c r="C23" s="131" t="s">
        <v>1</v>
      </c>
      <c r="D23" s="130"/>
      <c r="E23" s="130"/>
      <c r="F23" s="130"/>
      <c r="G23" s="130"/>
      <c r="H23" s="130"/>
      <c r="I23" s="130"/>
      <c r="J23" s="130"/>
    </row>
    <row r="24" spans="1:10" ht="12.75">
      <c r="A24" s="130"/>
      <c r="B24" s="130"/>
      <c r="C24" s="130"/>
      <c r="D24" s="130"/>
      <c r="E24" s="130"/>
      <c r="F24" s="130"/>
      <c r="G24" s="130"/>
      <c r="H24" s="130"/>
      <c r="I24" s="130"/>
      <c r="J24" s="130"/>
    </row>
    <row r="25" spans="1:10" ht="12.75">
      <c r="A25" s="130"/>
      <c r="B25" s="130"/>
      <c r="C25" s="130"/>
      <c r="D25" s="130"/>
      <c r="E25" s="130"/>
      <c r="F25" s="130"/>
      <c r="G25" s="130"/>
      <c r="H25" s="130"/>
      <c r="I25" s="130"/>
      <c r="J25" s="130"/>
    </row>
    <row r="26" spans="1:10" ht="12.75">
      <c r="A26" s="130"/>
      <c r="B26" s="130"/>
      <c r="C26" s="130"/>
      <c r="D26" s="130"/>
      <c r="E26" s="130"/>
      <c r="F26" s="130"/>
      <c r="G26" s="130"/>
      <c r="H26" s="130"/>
      <c r="I26" s="130"/>
      <c r="J26" s="130"/>
    </row>
    <row r="27" spans="1:10" ht="12.75">
      <c r="A27" s="130"/>
      <c r="B27" s="130"/>
      <c r="C27" s="130"/>
      <c r="D27" s="130"/>
      <c r="E27" s="130"/>
      <c r="F27" s="130"/>
      <c r="G27" s="130"/>
      <c r="H27" s="130"/>
      <c r="I27" s="130"/>
      <c r="J27" s="130"/>
    </row>
    <row r="28" spans="1:10" ht="13.5" thickBot="1">
      <c r="A28" s="130"/>
      <c r="B28" s="130"/>
      <c r="C28" s="130"/>
      <c r="D28" s="130"/>
      <c r="E28" s="130"/>
      <c r="F28" s="130"/>
      <c r="G28" s="130"/>
      <c r="H28" s="130"/>
      <c r="I28" s="130"/>
      <c r="J28" s="130"/>
    </row>
    <row r="29" spans="1:10" ht="13.5" thickBot="1">
      <c r="A29" s="130"/>
      <c r="B29" s="130"/>
      <c r="C29" s="130"/>
      <c r="D29" s="130"/>
      <c r="E29" s="130"/>
      <c r="F29" s="130"/>
      <c r="G29" s="130"/>
      <c r="H29" s="5">
        <f>'Valorisation du produit usagé'!F64</f>
        <v>0</v>
      </c>
      <c r="I29" s="130"/>
      <c r="J29" s="130"/>
    </row>
    <row r="30" spans="1:10" ht="12.75">
      <c r="A30" s="130"/>
      <c r="B30" s="130"/>
      <c r="C30" s="130"/>
      <c r="D30" s="130"/>
      <c r="E30" s="130"/>
      <c r="F30" s="130"/>
      <c r="G30" s="130"/>
      <c r="H30" s="131" t="s">
        <v>1</v>
      </c>
      <c r="I30" s="130"/>
      <c r="J30" s="130"/>
    </row>
    <row r="31" spans="1:10" ht="12.75">
      <c r="A31" s="130"/>
      <c r="B31" s="130"/>
      <c r="C31" s="130"/>
      <c r="D31" s="130"/>
      <c r="E31" s="130"/>
      <c r="F31" s="130"/>
      <c r="G31" s="130"/>
      <c r="H31" s="130"/>
      <c r="I31" s="130"/>
      <c r="J31" s="130"/>
    </row>
    <row r="32" spans="1:10" ht="12.75">
      <c r="A32" s="130"/>
      <c r="B32" s="130"/>
      <c r="C32" s="130"/>
      <c r="D32" s="130"/>
      <c r="E32" s="130"/>
      <c r="F32" s="130"/>
      <c r="G32" s="130"/>
      <c r="H32" s="130"/>
      <c r="I32" s="130"/>
      <c r="J32" s="130"/>
    </row>
    <row r="33" spans="1:10" ht="12.75">
      <c r="A33" s="130"/>
      <c r="B33" s="130"/>
      <c r="C33" s="130"/>
      <c r="D33" s="130"/>
      <c r="E33" s="130"/>
      <c r="F33" s="130"/>
      <c r="G33" s="130"/>
      <c r="H33" s="130"/>
      <c r="I33" s="130"/>
      <c r="J33" s="130"/>
    </row>
    <row r="34" spans="1:10" ht="12.75">
      <c r="A34" s="130"/>
      <c r="B34" s="130"/>
      <c r="C34" s="130"/>
      <c r="D34" s="130"/>
      <c r="E34" s="130"/>
      <c r="F34" s="130"/>
      <c r="G34" s="130"/>
      <c r="H34" s="130"/>
      <c r="I34" s="130"/>
      <c r="J34" s="130"/>
    </row>
    <row r="35" spans="1:10" ht="12.75">
      <c r="A35" s="130"/>
      <c r="B35" s="130"/>
      <c r="C35" s="130"/>
      <c r="D35" s="130"/>
      <c r="E35" s="130"/>
      <c r="F35" s="130"/>
      <c r="G35" s="130"/>
      <c r="H35" s="130"/>
      <c r="I35" s="130"/>
      <c r="J35" s="130"/>
    </row>
    <row r="36" spans="1:10" ht="13.5" customHeight="1">
      <c r="A36" s="130"/>
      <c r="B36" s="130"/>
      <c r="C36" s="130"/>
      <c r="D36" s="130"/>
      <c r="E36" s="130"/>
      <c r="F36" s="130"/>
      <c r="G36" s="130"/>
      <c r="H36" s="130"/>
      <c r="I36" s="130"/>
      <c r="J36" s="130"/>
    </row>
    <row r="37" spans="1:92" s="1" customFormat="1" ht="13.5" thickBo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row>
    <row r="38" spans="1:92" s="1" customFormat="1" ht="15">
      <c r="A38" s="136"/>
      <c r="B38" s="151"/>
      <c r="C38" s="151"/>
      <c r="D38" s="194" t="s">
        <v>325</v>
      </c>
      <c r="E38" s="195"/>
      <c r="F38" s="195"/>
      <c r="G38" s="195"/>
      <c r="H38" s="196"/>
      <c r="I38" s="205">
        <f>G19</f>
        <v>0</v>
      </c>
      <c r="J38" s="210" t="s">
        <v>258</v>
      </c>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row>
    <row r="39" spans="1:92" s="1" customFormat="1" ht="13.5" customHeight="1" thickBot="1">
      <c r="A39" s="149"/>
      <c r="B39" s="149"/>
      <c r="C39" s="136"/>
      <c r="D39" s="197"/>
      <c r="E39" s="198"/>
      <c r="F39" s="198"/>
      <c r="G39" s="198"/>
      <c r="H39" s="199"/>
      <c r="I39" s="206"/>
      <c r="J39" s="211"/>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row>
    <row r="40" spans="1:2" s="136" customFormat="1" ht="13.5" thickBot="1">
      <c r="A40" s="149"/>
      <c r="B40" s="149"/>
    </row>
    <row r="41" spans="1:92" s="1" customFormat="1" ht="42" customHeight="1" thickBot="1">
      <c r="A41" s="141"/>
      <c r="B41" s="141"/>
      <c r="C41" s="191" t="s">
        <v>335</v>
      </c>
      <c r="D41" s="192"/>
      <c r="E41" s="192"/>
      <c r="F41" s="192"/>
      <c r="G41" s="192"/>
      <c r="H41" s="193"/>
      <c r="I41" s="139">
        <f>(I38*36.7)/1000</f>
        <v>0</v>
      </c>
      <c r="J41" s="140"/>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row>
    <row r="42" spans="1:2" s="136" customFormat="1" ht="13.5" thickBot="1">
      <c r="A42" s="149"/>
      <c r="B42" s="149"/>
    </row>
    <row r="43" spans="1:92" s="1" customFormat="1" ht="42" customHeight="1" thickBot="1">
      <c r="A43" s="142"/>
      <c r="B43" s="142"/>
      <c r="C43" s="191" t="s">
        <v>336</v>
      </c>
      <c r="D43" s="192"/>
      <c r="E43" s="192"/>
      <c r="F43" s="192"/>
      <c r="G43" s="192"/>
      <c r="H43" s="193"/>
      <c r="I43" s="139">
        <f>100*I41</f>
        <v>0</v>
      </c>
      <c r="J43" s="129" t="s">
        <v>326</v>
      </c>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row>
    <row r="44" spans="1:3" s="136" customFormat="1" ht="12.75">
      <c r="A44" s="149"/>
      <c r="B44" s="149"/>
      <c r="C44" s="149"/>
    </row>
    <row r="45" s="130" customFormat="1" ht="13.5" thickBot="1"/>
    <row r="46" spans="1:9" ht="21.75" customHeight="1" thickBot="1">
      <c r="A46" s="188" t="s">
        <v>338</v>
      </c>
      <c r="B46" s="189"/>
      <c r="C46" s="189"/>
      <c r="D46" s="189"/>
      <c r="E46" s="189"/>
      <c r="F46" s="189"/>
      <c r="G46" s="190"/>
      <c r="I46" s="130"/>
    </row>
    <row r="47" spans="1:3" s="130" customFormat="1" ht="12.75">
      <c r="A47" s="212"/>
      <c r="B47" s="212"/>
      <c r="C47" s="212"/>
    </row>
    <row r="48" spans="1:7" s="130" customFormat="1" ht="81.75" customHeight="1">
      <c r="A48" s="207" t="s">
        <v>324</v>
      </c>
      <c r="B48" s="208"/>
      <c r="C48" s="208"/>
      <c r="D48" s="208"/>
      <c r="E48" s="208"/>
      <c r="F48" s="208"/>
      <c r="G48" s="209"/>
    </row>
    <row r="49" s="136" customFormat="1" ht="13.5" thickBot="1"/>
    <row r="50" spans="1:92" s="1" customFormat="1" ht="34.5" customHeight="1" thickBot="1">
      <c r="A50" s="188" t="s">
        <v>342</v>
      </c>
      <c r="B50" s="189"/>
      <c r="C50" s="189"/>
      <c r="D50" s="189"/>
      <c r="E50" s="189"/>
      <c r="F50" s="189"/>
      <c r="G50" s="190"/>
      <c r="H50" s="152"/>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row>
    <row r="51" s="136" customFormat="1" ht="12.75"/>
    <row r="52" spans="1:7" s="136" customFormat="1" ht="12.75">
      <c r="A52" s="203" t="s">
        <v>340</v>
      </c>
      <c r="B52" s="204"/>
      <c r="C52" s="204"/>
      <c r="D52" s="153"/>
      <c r="E52" s="153"/>
      <c r="F52" s="153"/>
      <c r="G52" s="154"/>
    </row>
    <row r="53" spans="1:7" s="136" customFormat="1" ht="12.75">
      <c r="A53" s="155" t="s">
        <v>333</v>
      </c>
      <c r="B53" s="156"/>
      <c r="C53" s="156"/>
      <c r="D53" s="156"/>
      <c r="E53" s="156"/>
      <c r="F53" s="156"/>
      <c r="G53" s="157"/>
    </row>
    <row r="54" spans="1:7" s="136" customFormat="1" ht="12.75">
      <c r="A54" s="200" t="s">
        <v>341</v>
      </c>
      <c r="B54" s="201"/>
      <c r="C54" s="156"/>
      <c r="D54" s="156"/>
      <c r="E54" s="156"/>
      <c r="F54" s="156"/>
      <c r="G54" s="157"/>
    </row>
    <row r="55" spans="1:7" s="136" customFormat="1" ht="12.75">
      <c r="A55" s="155" t="s">
        <v>339</v>
      </c>
      <c r="B55" s="156"/>
      <c r="C55" s="156"/>
      <c r="D55" s="156"/>
      <c r="E55" s="156"/>
      <c r="F55" s="156"/>
      <c r="G55" s="157"/>
    </row>
    <row r="56" spans="1:7" s="136" customFormat="1" ht="12.75">
      <c r="A56" s="200" t="s">
        <v>343</v>
      </c>
      <c r="B56" s="201"/>
      <c r="C56" s="201"/>
      <c r="D56" s="201"/>
      <c r="E56" s="201"/>
      <c r="F56" s="201"/>
      <c r="G56" s="202"/>
    </row>
    <row r="57" spans="1:7" s="136" customFormat="1" ht="12.75">
      <c r="A57" s="155" t="s">
        <v>337</v>
      </c>
      <c r="B57" s="156"/>
      <c r="C57" s="156"/>
      <c r="D57" s="156"/>
      <c r="E57" s="156"/>
      <c r="F57" s="156"/>
      <c r="G57" s="157"/>
    </row>
    <row r="58" spans="1:7" s="136" customFormat="1" ht="12.75">
      <c r="A58" s="200" t="s">
        <v>344</v>
      </c>
      <c r="B58" s="201"/>
      <c r="C58" s="201"/>
      <c r="D58" s="156"/>
      <c r="E58" s="156"/>
      <c r="F58" s="156"/>
      <c r="G58" s="157"/>
    </row>
    <row r="59" spans="1:7" s="136" customFormat="1" ht="12.75">
      <c r="A59" s="158" t="s">
        <v>334</v>
      </c>
      <c r="B59" s="159"/>
      <c r="C59" s="159"/>
      <c r="D59" s="159"/>
      <c r="E59" s="159"/>
      <c r="F59" s="159"/>
      <c r="G59" s="160"/>
    </row>
    <row r="60" s="136" customFormat="1" ht="12.75"/>
    <row r="61" s="136" customFormat="1" ht="12.75">
      <c r="A61" s="150"/>
    </row>
    <row r="62" s="136" customFormat="1" ht="12.75"/>
    <row r="63" s="136" customFormat="1" ht="12.75"/>
    <row r="64" s="136" customFormat="1" ht="12.75"/>
    <row r="65" s="136" customFormat="1" ht="12.75"/>
    <row r="66" s="136" customFormat="1" ht="12.75"/>
    <row r="67" s="136" customFormat="1" ht="12.75"/>
    <row r="68" s="136" customFormat="1" ht="12.75"/>
    <row r="69" s="136" customFormat="1" ht="12.75"/>
    <row r="70" s="136" customFormat="1" ht="12.75"/>
    <row r="71" s="136" customFormat="1" ht="12.75"/>
    <row r="72" s="136" customFormat="1" ht="12.75"/>
    <row r="73" s="136" customFormat="1" ht="12.75"/>
    <row r="74" s="136" customFormat="1" ht="12.75"/>
    <row r="75" s="136" customFormat="1" ht="12.75"/>
    <row r="76" s="136" customFormat="1" ht="12.75"/>
    <row r="77" s="136" customFormat="1" ht="12.75"/>
    <row r="78" s="136" customFormat="1" ht="12.75"/>
    <row r="79" s="136" customFormat="1" ht="12.75"/>
    <row r="80" s="136" customFormat="1" ht="12.75"/>
    <row r="81" s="136" customFormat="1" ht="12.75"/>
    <row r="82" s="136" customFormat="1" ht="12.75"/>
    <row r="83" s="136" customFormat="1" ht="12.75"/>
    <row r="84" s="136" customFormat="1" ht="12.75"/>
    <row r="85" s="136" customFormat="1" ht="12.75"/>
    <row r="86" s="136" customFormat="1" ht="12.75"/>
    <row r="87" s="136" customFormat="1" ht="12.75"/>
    <row r="88" s="136" customFormat="1" ht="12.75"/>
    <row r="89" s="136" customFormat="1" ht="12.75"/>
    <row r="90" s="136" customFormat="1" ht="12.75"/>
    <row r="91" s="136" customFormat="1" ht="12.75"/>
    <row r="92" s="136" customFormat="1" ht="12.75"/>
    <row r="93" s="136" customFormat="1" ht="12.75"/>
    <row r="94" s="136" customFormat="1" ht="12.75"/>
    <row r="95" s="136" customFormat="1" ht="12.75"/>
    <row r="96" s="136" customFormat="1" ht="12.75"/>
    <row r="97" spans="11:92" s="1" customFormat="1" ht="12.75">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36"/>
      <c r="CJ97" s="136"/>
      <c r="CK97" s="136"/>
      <c r="CL97" s="136"/>
      <c r="CM97" s="136"/>
      <c r="CN97" s="136"/>
    </row>
  </sheetData>
  <sheetProtection/>
  <mergeCells count="13">
    <mergeCell ref="I38:I39"/>
    <mergeCell ref="A46:G46"/>
    <mergeCell ref="A48:G48"/>
    <mergeCell ref="J38:J39"/>
    <mergeCell ref="C41:H41"/>
    <mergeCell ref="A47:C47"/>
    <mergeCell ref="A50:G50"/>
    <mergeCell ref="C43:H43"/>
    <mergeCell ref="D38:H39"/>
    <mergeCell ref="A58:C58"/>
    <mergeCell ref="A56:G56"/>
    <mergeCell ref="A54:B54"/>
    <mergeCell ref="A52:C52"/>
  </mergeCells>
  <hyperlinks>
    <hyperlink ref="A53" r:id="rId1" display="http://www.generationsfutures.com/compenser.html"/>
    <hyperlink ref="A59" r:id="rId2" display="http://alba.jrc.it/vgas/virtualibrary/mainmenufr.swf "/>
    <hyperlink ref="A57" r:id="rId3" display="http://alba.jrc.it/vgas/"/>
    <hyperlink ref="A55" r:id="rId4" display="http://www.effet2serre.com/index.htm "/>
  </hyperlinks>
  <printOptions/>
  <pageMargins left="0.787401575" right="0.787401575" top="0.984251969" bottom="0.984251969" header="0.4921259845" footer="0.4921259845"/>
  <pageSetup horizontalDpi="600" verticalDpi="600" orientation="landscape" paperSize="8" r:id="rId8"/>
  <drawing r:id="rId7"/>
  <legacyDrawing r:id="rId6"/>
</worksheet>
</file>

<file path=xl/worksheets/sheet2.xml><?xml version="1.0" encoding="utf-8"?>
<worksheet xmlns="http://schemas.openxmlformats.org/spreadsheetml/2006/main" xmlns:r="http://schemas.openxmlformats.org/officeDocument/2006/relationships">
  <dimension ref="A1:N88"/>
  <sheetViews>
    <sheetView zoomScalePageLayoutView="0" workbookViewId="0" topLeftCell="A1">
      <selection activeCell="H16" sqref="H16"/>
    </sheetView>
  </sheetViews>
  <sheetFormatPr defaultColWidth="11.421875" defaultRowHeight="12.75"/>
  <cols>
    <col min="1" max="1" width="3.00390625" style="1" customWidth="1"/>
    <col min="2" max="2" width="64.8515625" style="1" customWidth="1"/>
    <col min="3" max="3" width="11.8515625" style="2" customWidth="1"/>
    <col min="4" max="4" width="12.00390625" style="1" customWidth="1"/>
    <col min="5" max="5" width="13.7109375" style="1" customWidth="1"/>
    <col min="6" max="6" width="12.8515625" style="1" customWidth="1"/>
    <col min="7" max="16384" width="11.421875" style="1" customWidth="1"/>
  </cols>
  <sheetData>
    <row r="1" spans="1:14" ht="18.75" customHeight="1" thickBot="1">
      <c r="A1" s="100" t="s">
        <v>29</v>
      </c>
      <c r="B1" s="101"/>
      <c r="C1" s="162"/>
      <c r="D1" s="136"/>
      <c r="E1" s="136"/>
      <c r="F1" s="136"/>
      <c r="G1" s="136"/>
      <c r="H1" s="136"/>
      <c r="I1" s="136"/>
      <c r="J1" s="136"/>
      <c r="K1" s="136"/>
      <c r="L1" s="136"/>
      <c r="M1" s="136"/>
      <c r="N1" s="136"/>
    </row>
    <row r="2" spans="1:14" ht="31.5" customHeight="1" thickBot="1">
      <c r="A2" s="136"/>
      <c r="C2" s="60" t="s">
        <v>34</v>
      </c>
      <c r="D2" s="61" t="s">
        <v>32</v>
      </c>
      <c r="E2" s="8" t="s">
        <v>180</v>
      </c>
      <c r="F2" s="49" t="s">
        <v>30</v>
      </c>
      <c r="G2" s="136"/>
      <c r="H2" s="136"/>
      <c r="I2" s="136"/>
      <c r="J2" s="136"/>
      <c r="K2" s="136"/>
      <c r="L2" s="136"/>
      <c r="M2" s="136"/>
      <c r="N2" s="136"/>
    </row>
    <row r="3" spans="1:14" ht="31.5" customHeight="1" thickBot="1">
      <c r="A3" s="136"/>
      <c r="B3" s="31" t="s">
        <v>392</v>
      </c>
      <c r="C3" s="102" t="s">
        <v>35</v>
      </c>
      <c r="D3" s="59" t="s">
        <v>0</v>
      </c>
      <c r="E3" s="37" t="s">
        <v>269</v>
      </c>
      <c r="F3" s="50" t="s">
        <v>1</v>
      </c>
      <c r="G3" s="136"/>
      <c r="H3" s="136"/>
      <c r="I3" s="136"/>
      <c r="J3" s="136"/>
      <c r="K3" s="136"/>
      <c r="L3" s="136"/>
      <c r="M3" s="136"/>
      <c r="N3" s="136"/>
    </row>
    <row r="4" spans="1:14" ht="12.75" customHeight="1" thickBot="1">
      <c r="A4" s="136"/>
      <c r="B4" s="136"/>
      <c r="C4" s="162"/>
      <c r="D4" s="136"/>
      <c r="E4" s="136"/>
      <c r="F4" s="136"/>
      <c r="G4" s="136"/>
      <c r="H4" s="136"/>
      <c r="I4" s="136"/>
      <c r="J4" s="136"/>
      <c r="K4" s="136"/>
      <c r="L4" s="136"/>
      <c r="M4" s="136"/>
      <c r="N4" s="136"/>
    </row>
    <row r="5" spans="1:14" ht="13.5" thickBot="1">
      <c r="A5" s="136"/>
      <c r="B5" s="6" t="s">
        <v>2</v>
      </c>
      <c r="C5" s="12">
        <v>0</v>
      </c>
      <c r="D5" s="14"/>
      <c r="E5" s="13">
        <v>0.87</v>
      </c>
      <c r="F5" s="63">
        <f>(((0.3*(C5/100))+(0.87*(1-(C5/100))))*D5)</f>
        <v>0</v>
      </c>
      <c r="G5" s="136"/>
      <c r="H5" s="136"/>
      <c r="I5" s="136"/>
      <c r="J5" s="136"/>
      <c r="K5" s="136"/>
      <c r="L5" s="136"/>
      <c r="M5" s="136"/>
      <c r="N5" s="136"/>
    </row>
    <row r="6" spans="1:14" ht="13.5" thickBot="1">
      <c r="A6" s="136"/>
      <c r="B6" s="6" t="s">
        <v>13</v>
      </c>
      <c r="C6" s="12">
        <v>100</v>
      </c>
      <c r="D6" s="14"/>
      <c r="E6" s="13">
        <v>0.3</v>
      </c>
      <c r="F6" s="63">
        <f>(((0.3*(C6/100))+(0.87*(1-(C6/100))))*D6)</f>
        <v>0</v>
      </c>
      <c r="G6" s="136"/>
      <c r="H6" s="136"/>
      <c r="I6" s="136"/>
      <c r="J6" s="136"/>
      <c r="K6" s="136"/>
      <c r="L6" s="136"/>
      <c r="M6" s="136"/>
      <c r="N6" s="136"/>
    </row>
    <row r="7" spans="1:14" ht="13.5" thickBot="1">
      <c r="A7" s="136"/>
      <c r="B7" s="6" t="s">
        <v>47</v>
      </c>
      <c r="C7" s="15">
        <v>50</v>
      </c>
      <c r="D7" s="14"/>
      <c r="E7" s="13">
        <v>0.585</v>
      </c>
      <c r="F7" s="63">
        <f>(((0.3*(C7/100))+(0.87*(1-(C7/100))))*D7)</f>
        <v>0</v>
      </c>
      <c r="G7" s="136"/>
      <c r="H7" s="136"/>
      <c r="I7" s="136"/>
      <c r="J7" s="136"/>
      <c r="K7" s="136"/>
      <c r="L7" s="136"/>
      <c r="M7" s="136"/>
      <c r="N7" s="136"/>
    </row>
    <row r="8" spans="1:14" ht="13.5" thickBot="1">
      <c r="A8" s="136"/>
      <c r="B8" s="10" t="s">
        <v>48</v>
      </c>
      <c r="C8" s="11">
        <v>60</v>
      </c>
      <c r="D8" s="14"/>
      <c r="E8" s="13">
        <f>((0.3*(C8/100))+(0.87*(1-(C8/100))))</f>
        <v>0.528</v>
      </c>
      <c r="F8" s="63">
        <f>(((0.3*(C8/100))+(0.87*(1-(C8/100))))*D8)</f>
        <v>0</v>
      </c>
      <c r="G8" s="136"/>
      <c r="H8" s="136"/>
      <c r="I8" s="136"/>
      <c r="J8" s="136"/>
      <c r="K8" s="136"/>
      <c r="L8" s="136"/>
      <c r="M8" s="136"/>
      <c r="N8" s="136"/>
    </row>
    <row r="9" spans="1:14" ht="13.5" thickBot="1">
      <c r="A9" s="136"/>
      <c r="B9" s="136"/>
      <c r="C9" s="162"/>
      <c r="D9" s="136"/>
      <c r="E9" s="136"/>
      <c r="F9" s="163"/>
      <c r="G9" s="136"/>
      <c r="H9" s="136"/>
      <c r="I9" s="136"/>
      <c r="J9" s="136"/>
      <c r="K9" s="136"/>
      <c r="L9" s="136"/>
      <c r="M9" s="136"/>
      <c r="N9" s="136"/>
    </row>
    <row r="10" spans="1:14" ht="13.5" thickBot="1">
      <c r="A10" s="136"/>
      <c r="B10" s="6" t="s">
        <v>3</v>
      </c>
      <c r="C10" s="12">
        <v>0</v>
      </c>
      <c r="D10" s="14"/>
      <c r="E10" s="13">
        <v>2.89</v>
      </c>
      <c r="F10" s="63">
        <f>(((0.67*(C10/100))+(2.89*(1-(C10/100))))*D10)</f>
        <v>0</v>
      </c>
      <c r="G10" s="136"/>
      <c r="H10" s="136"/>
      <c r="I10" s="136"/>
      <c r="J10" s="136"/>
      <c r="K10" s="136"/>
      <c r="L10" s="136"/>
      <c r="M10" s="136"/>
      <c r="N10" s="136"/>
    </row>
    <row r="11" spans="1:14" ht="13.5" thickBot="1">
      <c r="A11" s="136"/>
      <c r="B11" s="6" t="s">
        <v>14</v>
      </c>
      <c r="C11" s="15">
        <v>100</v>
      </c>
      <c r="D11" s="14"/>
      <c r="E11" s="13">
        <v>0.67</v>
      </c>
      <c r="F11" s="63">
        <f>(((0.67*(C11/100))+(2.89*(1-(C11/100))))*D11)</f>
        <v>0</v>
      </c>
      <c r="G11" s="136"/>
      <c r="H11" s="136"/>
      <c r="I11" s="136"/>
      <c r="J11" s="136"/>
      <c r="K11" s="136"/>
      <c r="L11" s="136"/>
      <c r="M11" s="136"/>
      <c r="N11" s="136"/>
    </row>
    <row r="12" spans="1:14" ht="13.5" thickBot="1">
      <c r="A12" s="136"/>
      <c r="B12" s="10" t="s">
        <v>49</v>
      </c>
      <c r="C12" s="11">
        <v>40</v>
      </c>
      <c r="D12" s="14"/>
      <c r="E12" s="13">
        <f>((0.67*(C12/100))+(2.89*(1-(C12/100))))</f>
        <v>2.002</v>
      </c>
      <c r="F12" s="63">
        <f>(((0.67*(C12/100))+(2.89*(1-(C12/100))))*D12)</f>
        <v>0</v>
      </c>
      <c r="G12" s="136"/>
      <c r="H12" s="136"/>
      <c r="I12" s="136"/>
      <c r="J12" s="136"/>
      <c r="K12" s="136"/>
      <c r="L12" s="136"/>
      <c r="M12" s="136"/>
      <c r="N12" s="136"/>
    </row>
    <row r="13" spans="1:14" ht="13.5" thickBot="1">
      <c r="A13" s="136"/>
      <c r="B13" s="136"/>
      <c r="C13" s="162"/>
      <c r="D13" s="136"/>
      <c r="E13" s="136"/>
      <c r="F13" s="163"/>
      <c r="G13" s="136"/>
      <c r="H13" s="136"/>
      <c r="I13" s="136"/>
      <c r="J13" s="136"/>
      <c r="K13" s="136"/>
      <c r="L13" s="136"/>
      <c r="M13" s="136"/>
      <c r="N13" s="136"/>
    </row>
    <row r="14" spans="1:14" ht="13.5" thickBot="1">
      <c r="A14" s="136"/>
      <c r="B14" s="6" t="s">
        <v>4</v>
      </c>
      <c r="C14" s="12"/>
      <c r="D14" s="14"/>
      <c r="E14" s="13">
        <v>0.57</v>
      </c>
      <c r="F14" s="63">
        <f>(D14*E14)</f>
        <v>0</v>
      </c>
      <c r="G14" s="136"/>
      <c r="H14" s="136"/>
      <c r="I14" s="136"/>
      <c r="J14" s="136"/>
      <c r="K14" s="136"/>
      <c r="L14" s="136"/>
      <c r="M14" s="136"/>
      <c r="N14" s="136"/>
    </row>
    <row r="15" spans="1:14" ht="13.5" thickBot="1">
      <c r="A15" s="136"/>
      <c r="B15" s="6" t="s">
        <v>5</v>
      </c>
      <c r="C15" s="12"/>
      <c r="D15" s="14"/>
      <c r="E15" s="13">
        <v>0.8</v>
      </c>
      <c r="F15" s="63">
        <f>(D15*E15)</f>
        <v>0</v>
      </c>
      <c r="G15" s="136"/>
      <c r="H15" s="136"/>
      <c r="I15" s="136"/>
      <c r="J15" s="136"/>
      <c r="K15" s="136"/>
      <c r="L15" s="136"/>
      <c r="M15" s="136"/>
      <c r="N15" s="136"/>
    </row>
    <row r="16" spans="1:14" ht="13.5" thickBot="1">
      <c r="A16" s="136"/>
      <c r="B16" s="6" t="s">
        <v>352</v>
      </c>
      <c r="C16" s="12"/>
      <c r="D16" s="14"/>
      <c r="E16" s="13">
        <v>0.8</v>
      </c>
      <c r="F16" s="63">
        <f>(D16*E16)</f>
        <v>0</v>
      </c>
      <c r="G16" s="136"/>
      <c r="H16" s="136"/>
      <c r="I16" s="136"/>
      <c r="J16" s="136"/>
      <c r="K16" s="136"/>
      <c r="L16" s="136"/>
      <c r="M16" s="136"/>
      <c r="N16" s="136"/>
    </row>
    <row r="17" spans="1:14" ht="13.5" thickBot="1">
      <c r="A17" s="136"/>
      <c r="B17" s="6" t="s">
        <v>6</v>
      </c>
      <c r="C17" s="12"/>
      <c r="D17" s="14"/>
      <c r="E17" s="13">
        <v>2.5</v>
      </c>
      <c r="F17" s="63">
        <f>(D17*E17)</f>
        <v>0</v>
      </c>
      <c r="G17" s="136"/>
      <c r="H17" s="136"/>
      <c r="I17" s="136"/>
      <c r="J17" s="136"/>
      <c r="K17" s="136"/>
      <c r="L17" s="136"/>
      <c r="M17" s="136"/>
      <c r="N17" s="136"/>
    </row>
    <row r="18" spans="1:14" ht="13.5" thickBot="1">
      <c r="A18" s="136"/>
      <c r="B18" s="136"/>
      <c r="C18" s="162"/>
      <c r="D18" s="136"/>
      <c r="E18" s="136"/>
      <c r="F18" s="163"/>
      <c r="G18" s="136"/>
      <c r="H18" s="136"/>
      <c r="I18" s="136"/>
      <c r="J18" s="136"/>
      <c r="K18" s="136"/>
      <c r="L18" s="136"/>
      <c r="M18" s="136"/>
      <c r="N18" s="136"/>
    </row>
    <row r="19" spans="1:14" ht="18.75" customHeight="1" thickBot="1">
      <c r="A19" s="136"/>
      <c r="B19" s="105" t="s">
        <v>391</v>
      </c>
      <c r="C19" s="162"/>
      <c r="D19" s="136"/>
      <c r="E19" s="136"/>
      <c r="F19" s="163"/>
      <c r="G19" s="136"/>
      <c r="H19" s="136"/>
      <c r="I19" s="136"/>
      <c r="J19" s="136"/>
      <c r="K19" s="136"/>
      <c r="L19" s="136"/>
      <c r="M19" s="136"/>
      <c r="N19" s="136"/>
    </row>
    <row r="20" spans="1:14" ht="13.5" thickBot="1">
      <c r="A20" s="136"/>
      <c r="C20" s="162"/>
      <c r="D20" s="136"/>
      <c r="E20" s="136"/>
      <c r="F20" s="163"/>
      <c r="G20" s="136"/>
      <c r="H20" s="136"/>
      <c r="I20" s="136"/>
      <c r="J20" s="136"/>
      <c r="K20" s="136"/>
      <c r="L20" s="136"/>
      <c r="M20" s="136"/>
      <c r="N20" s="136"/>
    </row>
    <row r="21" spans="1:14" ht="13.5" thickBot="1">
      <c r="A21" s="136"/>
      <c r="B21" s="6" t="s">
        <v>9</v>
      </c>
      <c r="C21" s="12"/>
      <c r="D21" s="14"/>
      <c r="E21" s="13">
        <v>0.77</v>
      </c>
      <c r="F21" s="63">
        <f>(D21*E21)</f>
        <v>0</v>
      </c>
      <c r="G21" s="136"/>
      <c r="H21" s="136"/>
      <c r="I21" s="136"/>
      <c r="J21" s="136"/>
      <c r="K21" s="136"/>
      <c r="L21" s="136"/>
      <c r="M21" s="136"/>
      <c r="N21" s="136"/>
    </row>
    <row r="22" spans="1:14" ht="13.5" thickBot="1">
      <c r="A22" s="136"/>
      <c r="B22" s="6" t="s">
        <v>8</v>
      </c>
      <c r="C22" s="12"/>
      <c r="D22" s="14"/>
      <c r="E22" s="13">
        <v>0.52</v>
      </c>
      <c r="F22" s="63">
        <f aca="true" t="shared" si="0" ref="F22:F36">(D22*E22)</f>
        <v>0</v>
      </c>
      <c r="G22" s="136"/>
      <c r="H22" s="136"/>
      <c r="I22" s="136"/>
      <c r="J22" s="136"/>
      <c r="K22" s="136"/>
      <c r="L22" s="136"/>
      <c r="M22" s="136"/>
      <c r="N22" s="136"/>
    </row>
    <row r="23" spans="1:14" ht="13.5" thickBot="1">
      <c r="A23" s="136"/>
      <c r="B23" s="6" t="s">
        <v>44</v>
      </c>
      <c r="C23" s="12"/>
      <c r="D23" s="14"/>
      <c r="E23" s="13">
        <v>1.4</v>
      </c>
      <c r="F23" s="63">
        <f t="shared" si="0"/>
        <v>0</v>
      </c>
      <c r="G23" s="136"/>
      <c r="H23" s="136"/>
      <c r="I23" s="136"/>
      <c r="J23" s="136"/>
      <c r="K23" s="136"/>
      <c r="L23" s="136"/>
      <c r="M23" s="136"/>
      <c r="N23" s="136"/>
    </row>
    <row r="24" spans="1:14" ht="13.5" thickBot="1">
      <c r="A24" s="136"/>
      <c r="B24" s="6" t="s">
        <v>45</v>
      </c>
      <c r="C24" s="12">
        <v>100</v>
      </c>
      <c r="D24" s="14"/>
      <c r="E24" s="13">
        <v>0.8</v>
      </c>
      <c r="F24" s="63">
        <f t="shared" si="0"/>
        <v>0</v>
      </c>
      <c r="G24" s="136"/>
      <c r="H24" s="136"/>
      <c r="I24" s="136"/>
      <c r="J24" s="136"/>
      <c r="K24" s="136"/>
      <c r="L24" s="136"/>
      <c r="M24" s="136"/>
      <c r="N24" s="136"/>
    </row>
    <row r="25" spans="1:14" ht="13.5" thickBot="1">
      <c r="A25" s="136"/>
      <c r="B25" s="6" t="s">
        <v>201</v>
      </c>
      <c r="C25" s="12"/>
      <c r="D25" s="14"/>
      <c r="E25" s="13">
        <v>0.5</v>
      </c>
      <c r="F25" s="63">
        <f t="shared" si="0"/>
        <v>0</v>
      </c>
      <c r="G25" s="136"/>
      <c r="H25" s="136"/>
      <c r="I25" s="136"/>
      <c r="J25" s="136"/>
      <c r="K25" s="136"/>
      <c r="L25" s="136"/>
      <c r="M25" s="136"/>
      <c r="N25" s="136"/>
    </row>
    <row r="26" spans="1:14" ht="13.5" thickBot="1">
      <c r="A26" s="136"/>
      <c r="B26" s="6" t="s">
        <v>202</v>
      </c>
      <c r="C26" s="12">
        <v>100</v>
      </c>
      <c r="D26" s="14"/>
      <c r="E26" s="13">
        <v>0.25</v>
      </c>
      <c r="F26" s="63">
        <f t="shared" si="0"/>
        <v>0</v>
      </c>
      <c r="G26" s="136"/>
      <c r="H26" s="136"/>
      <c r="I26" s="136"/>
      <c r="J26" s="136"/>
      <c r="K26" s="136"/>
      <c r="L26" s="136"/>
      <c r="M26" s="136"/>
      <c r="N26" s="136"/>
    </row>
    <row r="27" spans="1:14" ht="13.5" thickBot="1">
      <c r="A27" s="136"/>
      <c r="B27" s="6" t="s">
        <v>203</v>
      </c>
      <c r="C27" s="12"/>
      <c r="D27" s="14"/>
      <c r="E27" s="13">
        <v>0.55</v>
      </c>
      <c r="F27" s="63">
        <f t="shared" si="0"/>
        <v>0</v>
      </c>
      <c r="G27" s="136"/>
      <c r="H27" s="136"/>
      <c r="I27" s="136"/>
      <c r="J27" s="136"/>
      <c r="K27" s="136"/>
      <c r="L27" s="136"/>
      <c r="M27" s="136"/>
      <c r="N27" s="136"/>
    </row>
    <row r="28" spans="1:14" ht="13.5" thickBot="1">
      <c r="A28" s="136"/>
      <c r="B28" s="6" t="s">
        <v>204</v>
      </c>
      <c r="C28" s="12">
        <v>100</v>
      </c>
      <c r="D28" s="14"/>
      <c r="E28" s="13">
        <v>0.23</v>
      </c>
      <c r="F28" s="63">
        <f t="shared" si="0"/>
        <v>0</v>
      </c>
      <c r="G28" s="136"/>
      <c r="H28" s="136"/>
      <c r="I28" s="136"/>
      <c r="J28" s="136"/>
      <c r="K28" s="136"/>
      <c r="L28" s="136"/>
      <c r="M28" s="136"/>
      <c r="N28" s="136"/>
    </row>
    <row r="29" spans="1:14" ht="13.5" thickBot="1">
      <c r="A29" s="136"/>
      <c r="B29" s="6" t="s">
        <v>10</v>
      </c>
      <c r="C29" s="12"/>
      <c r="D29" s="14"/>
      <c r="E29" s="13">
        <v>1.175</v>
      </c>
      <c r="F29" s="63">
        <f t="shared" si="0"/>
        <v>0</v>
      </c>
      <c r="G29" s="136"/>
      <c r="H29" s="136"/>
      <c r="I29" s="136"/>
      <c r="J29" s="136"/>
      <c r="K29" s="136"/>
      <c r="L29" s="136"/>
      <c r="M29" s="136"/>
      <c r="N29" s="136"/>
    </row>
    <row r="30" spans="1:14" ht="13.5" thickBot="1">
      <c r="A30" s="136"/>
      <c r="B30" s="6" t="s">
        <v>11</v>
      </c>
      <c r="C30" s="12"/>
      <c r="D30" s="14"/>
      <c r="E30" s="13">
        <v>1.23</v>
      </c>
      <c r="F30" s="63">
        <f t="shared" si="0"/>
        <v>0</v>
      </c>
      <c r="G30" s="136"/>
      <c r="H30" s="136"/>
      <c r="I30" s="136"/>
      <c r="J30" s="136"/>
      <c r="K30" s="136"/>
      <c r="L30" s="136"/>
      <c r="M30" s="136"/>
      <c r="N30" s="136"/>
    </row>
    <row r="31" spans="1:14" ht="13.5" thickBot="1">
      <c r="A31" s="136"/>
      <c r="B31" s="6" t="s">
        <v>15</v>
      </c>
      <c r="C31" s="12"/>
      <c r="D31" s="14"/>
      <c r="E31" s="13">
        <v>1.6</v>
      </c>
      <c r="F31" s="63">
        <f t="shared" si="0"/>
        <v>0</v>
      </c>
      <c r="G31" s="136"/>
      <c r="H31" s="136"/>
      <c r="I31" s="136"/>
      <c r="J31" s="136"/>
      <c r="K31" s="136"/>
      <c r="L31" s="136"/>
      <c r="M31" s="136"/>
      <c r="N31" s="136"/>
    </row>
    <row r="32" spans="1:14" ht="13.5" thickBot="1">
      <c r="A32" s="136"/>
      <c r="B32" s="6" t="s">
        <v>12</v>
      </c>
      <c r="C32" s="12"/>
      <c r="D32" s="14"/>
      <c r="E32" s="13">
        <v>1.2</v>
      </c>
      <c r="F32" s="63">
        <f t="shared" si="0"/>
        <v>0</v>
      </c>
      <c r="G32" s="136"/>
      <c r="H32" s="136"/>
      <c r="I32" s="136"/>
      <c r="J32" s="136"/>
      <c r="K32" s="136"/>
      <c r="L32" s="136"/>
      <c r="M32" s="136"/>
      <c r="N32" s="136"/>
    </row>
    <row r="33" spans="1:14" ht="13.5" thickBot="1">
      <c r="A33" s="136"/>
      <c r="B33" s="6" t="s">
        <v>46</v>
      </c>
      <c r="C33" s="12">
        <v>100</v>
      </c>
      <c r="D33" s="14"/>
      <c r="E33" s="13">
        <v>0.4</v>
      </c>
      <c r="F33" s="63">
        <f t="shared" si="0"/>
        <v>0</v>
      </c>
      <c r="G33" s="136"/>
      <c r="H33" s="136"/>
      <c r="I33" s="136"/>
      <c r="J33" s="136"/>
      <c r="K33" s="136"/>
      <c r="L33" s="136"/>
      <c r="M33" s="136"/>
      <c r="N33" s="136"/>
    </row>
    <row r="34" spans="1:14" ht="13.5" thickBot="1">
      <c r="A34" s="136"/>
      <c r="B34" s="6" t="s">
        <v>39</v>
      </c>
      <c r="C34" s="12"/>
      <c r="D34" s="14"/>
      <c r="E34" s="13">
        <v>0.8</v>
      </c>
      <c r="F34" s="63">
        <f t="shared" si="0"/>
        <v>0</v>
      </c>
      <c r="G34" s="136"/>
      <c r="H34" s="136"/>
      <c r="I34" s="136"/>
      <c r="J34" s="136"/>
      <c r="K34" s="136"/>
      <c r="L34" s="136"/>
      <c r="M34" s="136"/>
      <c r="N34" s="136"/>
    </row>
    <row r="35" spans="1:14" ht="13.5" thickBot="1">
      <c r="A35" s="136"/>
      <c r="B35" s="6" t="s">
        <v>442</v>
      </c>
      <c r="C35" s="12"/>
      <c r="D35" s="14"/>
      <c r="E35" s="13">
        <v>2.08</v>
      </c>
      <c r="F35" s="63">
        <f t="shared" si="0"/>
        <v>0</v>
      </c>
      <c r="G35" s="136"/>
      <c r="H35" s="136"/>
      <c r="I35" s="136"/>
      <c r="J35" s="136"/>
      <c r="K35" s="136"/>
      <c r="L35" s="136"/>
      <c r="M35" s="136"/>
      <c r="N35" s="136"/>
    </row>
    <row r="36" spans="1:14" ht="13.5" thickBot="1">
      <c r="A36" s="136"/>
      <c r="B36" s="6" t="s">
        <v>16</v>
      </c>
      <c r="C36" s="12"/>
      <c r="D36" s="14"/>
      <c r="E36" s="13">
        <v>0.64</v>
      </c>
      <c r="F36" s="63">
        <f t="shared" si="0"/>
        <v>0</v>
      </c>
      <c r="G36" s="136"/>
      <c r="H36" s="136"/>
      <c r="I36" s="136"/>
      <c r="J36" s="136"/>
      <c r="K36" s="136"/>
      <c r="L36" s="136"/>
      <c r="M36" s="136"/>
      <c r="N36" s="136"/>
    </row>
    <row r="37" spans="1:14" ht="13.5" thickBot="1">
      <c r="A37" s="136"/>
      <c r="C37" s="162"/>
      <c r="D37" s="136"/>
      <c r="E37" s="136"/>
      <c r="F37" s="163"/>
      <c r="G37" s="136"/>
      <c r="H37" s="136"/>
      <c r="I37" s="136"/>
      <c r="J37" s="136"/>
      <c r="K37" s="136"/>
      <c r="L37" s="136"/>
      <c r="M37" s="136"/>
      <c r="N37" s="136"/>
    </row>
    <row r="38" spans="1:14" ht="18.75" customHeight="1" thickBot="1">
      <c r="A38" s="136"/>
      <c r="B38" s="105" t="s">
        <v>393</v>
      </c>
      <c r="C38" s="162"/>
      <c r="D38" s="136"/>
      <c r="E38" s="136"/>
      <c r="F38" s="163"/>
      <c r="G38" s="136"/>
      <c r="H38" s="136"/>
      <c r="I38" s="136"/>
      <c r="J38" s="136"/>
      <c r="K38" s="136"/>
      <c r="L38" s="136"/>
      <c r="M38" s="136"/>
      <c r="N38" s="136"/>
    </row>
    <row r="39" spans="1:14" ht="13.5" thickBot="1">
      <c r="A39" s="136"/>
      <c r="C39" s="162"/>
      <c r="D39" s="136"/>
      <c r="E39" s="136"/>
      <c r="F39" s="163"/>
      <c r="G39" s="136"/>
      <c r="H39" s="136"/>
      <c r="I39" s="136"/>
      <c r="J39" s="136"/>
      <c r="K39" s="136"/>
      <c r="L39" s="136"/>
      <c r="M39" s="136"/>
      <c r="N39" s="136"/>
    </row>
    <row r="40" spans="1:14" ht="13.5" thickBot="1">
      <c r="A40" s="136"/>
      <c r="B40" s="6" t="s">
        <v>21</v>
      </c>
      <c r="C40" s="12"/>
      <c r="D40" s="14"/>
      <c r="E40" s="13">
        <v>0.28</v>
      </c>
      <c r="F40" s="63">
        <f aca="true" t="shared" si="1" ref="F40:F48">(D40*E40)</f>
        <v>0</v>
      </c>
      <c r="G40" s="136"/>
      <c r="H40" s="136"/>
      <c r="I40" s="136"/>
      <c r="J40" s="136"/>
      <c r="K40" s="136"/>
      <c r="L40" s="136"/>
      <c r="M40" s="136"/>
      <c r="N40" s="136"/>
    </row>
    <row r="41" spans="1:14" ht="13.5" thickBot="1">
      <c r="A41" s="136"/>
      <c r="B41" s="6" t="s">
        <v>17</v>
      </c>
      <c r="C41" s="12"/>
      <c r="D41" s="14"/>
      <c r="E41" s="13">
        <v>0.414</v>
      </c>
      <c r="F41" s="63">
        <f t="shared" si="1"/>
        <v>0</v>
      </c>
      <c r="G41" s="136"/>
      <c r="H41" s="136"/>
      <c r="I41" s="136"/>
      <c r="J41" s="136"/>
      <c r="K41" s="136"/>
      <c r="L41" s="136"/>
      <c r="M41" s="136"/>
      <c r="N41" s="136"/>
    </row>
    <row r="42" spans="1:14" ht="13.5" thickBot="1">
      <c r="A42" s="136"/>
      <c r="B42" s="6" t="s">
        <v>19</v>
      </c>
      <c r="C42" s="12"/>
      <c r="D42" s="14"/>
      <c r="E42" s="13">
        <v>0.58</v>
      </c>
      <c r="F42" s="63">
        <f t="shared" si="1"/>
        <v>0</v>
      </c>
      <c r="G42" s="136"/>
      <c r="H42" s="136"/>
      <c r="I42" s="136"/>
      <c r="J42" s="136"/>
      <c r="K42" s="136"/>
      <c r="L42" s="136"/>
      <c r="M42" s="136"/>
      <c r="N42" s="136"/>
    </row>
    <row r="43" spans="1:14" ht="13.5" thickBot="1">
      <c r="A43" s="136"/>
      <c r="B43" s="6" t="s">
        <v>20</v>
      </c>
      <c r="C43" s="12">
        <v>100</v>
      </c>
      <c r="D43" s="14"/>
      <c r="E43" s="13">
        <v>0.165</v>
      </c>
      <c r="F43" s="63">
        <f t="shared" si="1"/>
        <v>0</v>
      </c>
      <c r="G43" s="136"/>
      <c r="H43" s="136"/>
      <c r="I43" s="136"/>
      <c r="J43" s="136"/>
      <c r="K43" s="136"/>
      <c r="L43" s="136"/>
      <c r="M43" s="136"/>
      <c r="N43" s="136"/>
    </row>
    <row r="44" spans="1:14" ht="13.5" thickBot="1">
      <c r="A44" s="136"/>
      <c r="B44" s="6" t="s">
        <v>22</v>
      </c>
      <c r="C44" s="12"/>
      <c r="D44" s="14"/>
      <c r="E44" s="13">
        <v>0.28</v>
      </c>
      <c r="F44" s="63">
        <f t="shared" si="1"/>
        <v>0</v>
      </c>
      <c r="G44" s="136"/>
      <c r="H44" s="136"/>
      <c r="I44" s="136"/>
      <c r="J44" s="136"/>
      <c r="K44" s="136"/>
      <c r="L44" s="136"/>
      <c r="M44" s="136"/>
      <c r="N44" s="136"/>
    </row>
    <row r="45" spans="1:14" ht="13.5" thickBot="1">
      <c r="A45" s="136"/>
      <c r="B45" s="6" t="s">
        <v>18</v>
      </c>
      <c r="C45" s="12"/>
      <c r="D45" s="14"/>
      <c r="E45" s="13">
        <v>1</v>
      </c>
      <c r="F45" s="63">
        <f t="shared" si="1"/>
        <v>0</v>
      </c>
      <c r="G45" s="136"/>
      <c r="H45" s="136"/>
      <c r="I45" s="136"/>
      <c r="J45" s="136"/>
      <c r="K45" s="136"/>
      <c r="L45" s="136"/>
      <c r="M45" s="136"/>
      <c r="N45" s="136"/>
    </row>
    <row r="46" spans="1:14" ht="13.5" thickBot="1">
      <c r="A46" s="136"/>
      <c r="B46" s="6" t="s">
        <v>23</v>
      </c>
      <c r="C46" s="12">
        <v>99</v>
      </c>
      <c r="D46" s="14"/>
      <c r="E46" s="13">
        <v>0.163</v>
      </c>
      <c r="F46" s="63">
        <f t="shared" si="1"/>
        <v>0</v>
      </c>
      <c r="G46" s="136"/>
      <c r="H46" s="136"/>
      <c r="I46" s="136"/>
      <c r="J46" s="136"/>
      <c r="K46" s="136"/>
      <c r="L46" s="136"/>
      <c r="M46" s="136"/>
      <c r="N46" s="136"/>
    </row>
    <row r="47" spans="1:14" ht="13.5" thickBot="1">
      <c r="A47" s="136"/>
      <c r="B47" s="6" t="s">
        <v>24</v>
      </c>
      <c r="C47" s="12">
        <v>61</v>
      </c>
      <c r="D47" s="14"/>
      <c r="E47" s="13">
        <v>0.213</v>
      </c>
      <c r="F47" s="63">
        <f t="shared" si="1"/>
        <v>0</v>
      </c>
      <c r="G47" s="136"/>
      <c r="H47" s="136"/>
      <c r="I47" s="136"/>
      <c r="J47" s="136"/>
      <c r="K47" s="136"/>
      <c r="L47" s="136"/>
      <c r="M47" s="136"/>
      <c r="N47" s="136"/>
    </row>
    <row r="48" spans="1:14" ht="13.5" thickBot="1">
      <c r="A48" s="136"/>
      <c r="B48" s="6" t="s">
        <v>25</v>
      </c>
      <c r="C48" s="12">
        <v>55</v>
      </c>
      <c r="D48" s="14"/>
      <c r="E48" s="13">
        <v>0.209</v>
      </c>
      <c r="F48" s="63">
        <f t="shared" si="1"/>
        <v>0</v>
      </c>
      <c r="G48" s="136"/>
      <c r="H48" s="136"/>
      <c r="I48" s="136"/>
      <c r="J48" s="136"/>
      <c r="K48" s="136"/>
      <c r="L48" s="136"/>
      <c r="M48" s="136"/>
      <c r="N48" s="136"/>
    </row>
    <row r="49" spans="1:14" ht="13.5" thickBot="1">
      <c r="A49" s="136"/>
      <c r="C49" s="162"/>
      <c r="D49" s="136"/>
      <c r="E49" s="136"/>
      <c r="F49" s="163"/>
      <c r="G49" s="136"/>
      <c r="H49" s="136"/>
      <c r="I49" s="136"/>
      <c r="J49" s="136"/>
      <c r="K49" s="136"/>
      <c r="L49" s="136"/>
      <c r="M49" s="136"/>
      <c r="N49" s="136"/>
    </row>
    <row r="50" spans="1:14" ht="18.75" customHeight="1" thickBot="1">
      <c r="A50" s="136"/>
      <c r="B50" s="105" t="s">
        <v>394</v>
      </c>
      <c r="C50" s="162"/>
      <c r="D50" s="136"/>
      <c r="E50" s="136"/>
      <c r="F50" s="163"/>
      <c r="G50" s="136"/>
      <c r="H50" s="136"/>
      <c r="I50" s="136"/>
      <c r="J50" s="136"/>
      <c r="K50" s="136"/>
      <c r="L50" s="136"/>
      <c r="M50" s="136"/>
      <c r="N50" s="136"/>
    </row>
    <row r="51" spans="1:14" ht="13.5" thickBot="1">
      <c r="A51" s="136"/>
      <c r="C51" s="162"/>
      <c r="D51" s="136"/>
      <c r="E51" s="136"/>
      <c r="F51" s="163"/>
      <c r="G51" s="136"/>
      <c r="H51" s="136"/>
      <c r="I51" s="136"/>
      <c r="J51" s="136"/>
      <c r="K51" s="136"/>
      <c r="L51" s="136"/>
      <c r="M51" s="136"/>
      <c r="N51" s="136"/>
    </row>
    <row r="52" spans="1:14" ht="13.5" thickBot="1">
      <c r="A52" s="136"/>
      <c r="B52" s="6" t="s">
        <v>26</v>
      </c>
      <c r="C52" s="12"/>
      <c r="D52" s="14"/>
      <c r="E52" s="13">
        <v>0.55</v>
      </c>
      <c r="F52" s="63">
        <f>(D52*E52)</f>
        <v>0</v>
      </c>
      <c r="G52" s="136"/>
      <c r="H52" s="136"/>
      <c r="I52" s="136"/>
      <c r="J52" s="136"/>
      <c r="K52" s="136"/>
      <c r="L52" s="136"/>
      <c r="M52" s="136"/>
      <c r="N52" s="136"/>
    </row>
    <row r="53" spans="1:14" ht="13.5" thickBot="1">
      <c r="A53" s="136"/>
      <c r="B53" s="6" t="s">
        <v>27</v>
      </c>
      <c r="C53" s="12"/>
      <c r="D53" s="14"/>
      <c r="E53" s="13">
        <v>0.5</v>
      </c>
      <c r="F53" s="63">
        <f>(D53*E53)</f>
        <v>0</v>
      </c>
      <c r="G53" s="136"/>
      <c r="H53" s="136"/>
      <c r="I53" s="136"/>
      <c r="J53" s="136"/>
      <c r="K53" s="136"/>
      <c r="L53" s="136"/>
      <c r="M53" s="136"/>
      <c r="N53" s="136"/>
    </row>
    <row r="54" spans="1:14" ht="13.5" thickBot="1">
      <c r="A54" s="136"/>
      <c r="B54" s="6" t="s">
        <v>28</v>
      </c>
      <c r="C54" s="12"/>
      <c r="D54" s="14"/>
      <c r="E54" s="13">
        <v>1.1</v>
      </c>
      <c r="F54" s="63">
        <f>(D54*E54)</f>
        <v>0</v>
      </c>
      <c r="G54" s="136"/>
      <c r="H54" s="136"/>
      <c r="I54" s="136"/>
      <c r="J54" s="136"/>
      <c r="K54" s="136"/>
      <c r="L54" s="136"/>
      <c r="M54" s="136"/>
      <c r="N54" s="136"/>
    </row>
    <row r="55" spans="1:14" ht="13.5" thickBot="1">
      <c r="A55" s="136"/>
      <c r="B55" s="136"/>
      <c r="C55" s="162"/>
      <c r="D55" s="136"/>
      <c r="E55" s="136"/>
      <c r="F55" s="136"/>
      <c r="G55" s="136"/>
      <c r="H55" s="136"/>
      <c r="I55" s="136"/>
      <c r="J55" s="136"/>
      <c r="K55" s="136"/>
      <c r="L55" s="136"/>
      <c r="M55" s="136"/>
      <c r="N55" s="136"/>
    </row>
    <row r="56" spans="1:14" ht="31.5" customHeight="1">
      <c r="A56" s="136"/>
      <c r="B56" s="136"/>
      <c r="C56" s="162"/>
      <c r="D56" s="104" t="s">
        <v>32</v>
      </c>
      <c r="E56" s="163"/>
      <c r="F56" s="90" t="s">
        <v>30</v>
      </c>
      <c r="G56" s="136"/>
      <c r="H56" s="136"/>
      <c r="I56" s="136"/>
      <c r="J56" s="136"/>
      <c r="K56" s="136"/>
      <c r="L56" s="136"/>
      <c r="M56" s="136"/>
      <c r="N56" s="136"/>
    </row>
    <row r="57" spans="1:14" ht="31.5" customHeight="1" thickBot="1">
      <c r="A57" s="136"/>
      <c r="B57" s="136"/>
      <c r="C57" s="162"/>
      <c r="D57" s="103" t="s">
        <v>33</v>
      </c>
      <c r="E57" s="163"/>
      <c r="F57" s="91" t="s">
        <v>31</v>
      </c>
      <c r="G57" s="136"/>
      <c r="H57" s="136"/>
      <c r="I57" s="136"/>
      <c r="J57" s="136"/>
      <c r="K57" s="136"/>
      <c r="L57" s="136"/>
      <c r="M57" s="136"/>
      <c r="N57" s="136"/>
    </row>
    <row r="58" spans="1:14" ht="12" customHeight="1" thickBot="1">
      <c r="A58" s="136"/>
      <c r="B58" s="136"/>
      <c r="C58" s="164" t="s">
        <v>54</v>
      </c>
      <c r="D58" s="4">
        <f>SUM(D5:D54)</f>
        <v>0</v>
      </c>
      <c r="E58" s="164" t="s">
        <v>54</v>
      </c>
      <c r="F58" s="5">
        <f>SUM(F5:F54)</f>
        <v>0</v>
      </c>
      <c r="G58" s="136"/>
      <c r="H58" s="136"/>
      <c r="I58" s="136"/>
      <c r="J58" s="136"/>
      <c r="K58" s="136"/>
      <c r="L58" s="136"/>
      <c r="M58" s="136"/>
      <c r="N58" s="136"/>
    </row>
    <row r="59" spans="1:14" ht="13.5" thickBot="1">
      <c r="A59" s="136"/>
      <c r="B59" s="136"/>
      <c r="C59" s="165"/>
      <c r="D59" s="62" t="s">
        <v>0</v>
      </c>
      <c r="E59" s="165"/>
      <c r="F59" s="53" t="s">
        <v>1</v>
      </c>
      <c r="G59" s="136"/>
      <c r="H59" s="136"/>
      <c r="I59" s="136"/>
      <c r="J59" s="136"/>
      <c r="K59" s="136"/>
      <c r="L59" s="136"/>
      <c r="M59" s="136"/>
      <c r="N59" s="136"/>
    </row>
    <row r="60" spans="1:14" ht="12.75">
      <c r="A60" s="136"/>
      <c r="B60" s="136"/>
      <c r="C60" s="162"/>
      <c r="D60" s="136"/>
      <c r="E60" s="136"/>
      <c r="F60" s="136"/>
      <c r="G60" s="136"/>
      <c r="H60" s="136"/>
      <c r="I60" s="136"/>
      <c r="J60" s="136"/>
      <c r="K60" s="136"/>
      <c r="L60" s="136"/>
      <c r="M60" s="136"/>
      <c r="N60" s="136"/>
    </row>
    <row r="61" spans="1:14" ht="12.75">
      <c r="A61" s="136"/>
      <c r="B61" s="136"/>
      <c r="C61" s="162"/>
      <c r="D61" s="136"/>
      <c r="E61" s="136"/>
      <c r="F61" s="136"/>
      <c r="G61" s="136"/>
      <c r="H61" s="136"/>
      <c r="I61" s="136"/>
      <c r="J61" s="136"/>
      <c r="K61" s="136"/>
      <c r="L61" s="136"/>
      <c r="M61" s="136"/>
      <c r="N61" s="136"/>
    </row>
    <row r="62" spans="1:14" ht="13.5" thickBot="1">
      <c r="A62" s="136"/>
      <c r="B62" s="136"/>
      <c r="C62" s="162"/>
      <c r="D62" s="136"/>
      <c r="E62" s="136"/>
      <c r="F62" s="136"/>
      <c r="G62" s="136"/>
      <c r="H62" s="136"/>
      <c r="I62" s="136"/>
      <c r="J62" s="136"/>
      <c r="K62" s="136"/>
      <c r="L62" s="136"/>
      <c r="M62" s="136"/>
      <c r="N62" s="136"/>
    </row>
    <row r="63" spans="1:14" ht="13.5" thickBot="1">
      <c r="A63" s="136"/>
      <c r="B63" s="136"/>
      <c r="C63" s="166" t="s">
        <v>36</v>
      </c>
      <c r="D63" s="9" t="e">
        <f>F58/D58</f>
        <v>#DIV/0!</v>
      </c>
      <c r="E63" s="136"/>
      <c r="G63" s="136"/>
      <c r="H63" s="136"/>
      <c r="I63" s="136"/>
      <c r="J63" s="136"/>
      <c r="K63" s="136"/>
      <c r="L63" s="136"/>
      <c r="M63" s="136"/>
      <c r="N63" s="136"/>
    </row>
    <row r="64" spans="1:14" ht="12.75">
      <c r="A64" s="136"/>
      <c r="B64" s="136"/>
      <c r="C64" s="162" t="s">
        <v>37</v>
      </c>
      <c r="D64" s="136"/>
      <c r="E64" s="136"/>
      <c r="F64" s="136"/>
      <c r="G64" s="136"/>
      <c r="H64" s="136"/>
      <c r="I64" s="136"/>
      <c r="J64" s="136"/>
      <c r="K64" s="136"/>
      <c r="L64" s="136"/>
      <c r="M64" s="136"/>
      <c r="N64" s="136"/>
    </row>
    <row r="65" spans="1:14" ht="12.75">
      <c r="A65" s="136"/>
      <c r="B65" s="136"/>
      <c r="C65" s="162"/>
      <c r="D65" s="136"/>
      <c r="E65" s="136"/>
      <c r="F65" s="136"/>
      <c r="G65" s="136"/>
      <c r="H65" s="136"/>
      <c r="I65" s="136"/>
      <c r="J65" s="136"/>
      <c r="K65" s="136"/>
      <c r="L65" s="136"/>
      <c r="M65" s="136"/>
      <c r="N65" s="136"/>
    </row>
    <row r="66" spans="1:14" ht="12.75">
      <c r="A66" s="136"/>
      <c r="B66" s="136"/>
      <c r="C66" s="162"/>
      <c r="D66" s="136"/>
      <c r="E66" s="136"/>
      <c r="F66" s="136"/>
      <c r="G66" s="136"/>
      <c r="H66" s="136"/>
      <c r="I66" s="136"/>
      <c r="J66" s="136"/>
      <c r="K66" s="136"/>
      <c r="L66" s="136"/>
      <c r="M66" s="136"/>
      <c r="N66" s="136"/>
    </row>
    <row r="67" spans="1:14" ht="12.75">
      <c r="A67" s="136"/>
      <c r="B67" s="136"/>
      <c r="C67" s="162"/>
      <c r="D67" s="136"/>
      <c r="E67" s="136"/>
      <c r="F67" s="136"/>
      <c r="G67" s="136"/>
      <c r="H67" s="136"/>
      <c r="I67" s="136"/>
      <c r="J67" s="136"/>
      <c r="K67" s="136"/>
      <c r="L67" s="136"/>
      <c r="M67" s="136"/>
      <c r="N67" s="136"/>
    </row>
    <row r="68" spans="1:14" ht="12.75">
      <c r="A68" s="136"/>
      <c r="B68" s="136"/>
      <c r="C68" s="162"/>
      <c r="D68" s="136"/>
      <c r="E68" s="136"/>
      <c r="F68" s="136"/>
      <c r="G68" s="136"/>
      <c r="H68" s="136"/>
      <c r="I68" s="136"/>
      <c r="J68" s="136"/>
      <c r="K68" s="136"/>
      <c r="L68" s="136"/>
      <c r="M68" s="136"/>
      <c r="N68" s="136"/>
    </row>
    <row r="69" spans="1:14" ht="12.75">
      <c r="A69" s="136"/>
      <c r="B69" s="136"/>
      <c r="C69" s="162"/>
      <c r="D69" s="136"/>
      <c r="E69" s="136"/>
      <c r="F69" s="136"/>
      <c r="G69" s="136"/>
      <c r="H69" s="136"/>
      <c r="I69" s="136"/>
      <c r="J69" s="136"/>
      <c r="K69" s="136"/>
      <c r="L69" s="136"/>
      <c r="M69" s="136"/>
      <c r="N69" s="136"/>
    </row>
    <row r="70" spans="1:14" ht="12.75">
      <c r="A70" s="136"/>
      <c r="B70" s="136"/>
      <c r="C70" s="162"/>
      <c r="D70" s="136"/>
      <c r="E70" s="136"/>
      <c r="F70" s="136"/>
      <c r="G70" s="136"/>
      <c r="H70" s="136"/>
      <c r="I70" s="136"/>
      <c r="J70" s="136"/>
      <c r="K70" s="136"/>
      <c r="L70" s="136"/>
      <c r="M70" s="136"/>
      <c r="N70" s="136"/>
    </row>
    <row r="71" spans="1:14" ht="12.75">
      <c r="A71" s="136"/>
      <c r="B71" s="136"/>
      <c r="C71" s="162"/>
      <c r="D71" s="136"/>
      <c r="E71" s="136"/>
      <c r="F71" s="136"/>
      <c r="G71" s="136"/>
      <c r="H71" s="136"/>
      <c r="I71" s="136"/>
      <c r="J71" s="136"/>
      <c r="K71" s="136"/>
      <c r="L71" s="136"/>
      <c r="M71" s="136"/>
      <c r="N71" s="136"/>
    </row>
    <row r="72" spans="1:14" ht="12.75">
      <c r="A72" s="136"/>
      <c r="B72" s="136"/>
      <c r="C72" s="162"/>
      <c r="D72" s="136"/>
      <c r="E72" s="136"/>
      <c r="F72" s="136"/>
      <c r="G72" s="136"/>
      <c r="H72" s="136"/>
      <c r="I72" s="136"/>
      <c r="J72" s="136"/>
      <c r="K72" s="136"/>
      <c r="L72" s="136"/>
      <c r="M72" s="136"/>
      <c r="N72" s="136"/>
    </row>
    <row r="73" spans="1:14" ht="12.75">
      <c r="A73" s="136"/>
      <c r="B73" s="136"/>
      <c r="C73" s="162"/>
      <c r="D73" s="136"/>
      <c r="E73" s="136"/>
      <c r="F73" s="136"/>
      <c r="G73" s="136"/>
      <c r="H73" s="136"/>
      <c r="I73" s="136"/>
      <c r="J73" s="136"/>
      <c r="K73" s="136"/>
      <c r="L73" s="136"/>
      <c r="M73" s="136"/>
      <c r="N73" s="136"/>
    </row>
    <row r="74" spans="1:14" ht="12.75">
      <c r="A74" s="136"/>
      <c r="B74" s="136"/>
      <c r="C74" s="162"/>
      <c r="D74" s="136"/>
      <c r="E74" s="136"/>
      <c r="F74" s="136"/>
      <c r="G74" s="136"/>
      <c r="H74" s="136"/>
      <c r="I74" s="136"/>
      <c r="J74" s="136"/>
      <c r="K74" s="136"/>
      <c r="L74" s="136"/>
      <c r="M74" s="136"/>
      <c r="N74" s="136"/>
    </row>
    <row r="75" spans="1:14" ht="12.75">
      <c r="A75" s="136"/>
      <c r="B75" s="136"/>
      <c r="C75" s="162"/>
      <c r="D75" s="136"/>
      <c r="E75" s="136"/>
      <c r="F75" s="136"/>
      <c r="G75" s="136"/>
      <c r="H75" s="136"/>
      <c r="I75" s="136"/>
      <c r="J75" s="136"/>
      <c r="K75" s="136"/>
      <c r="L75" s="136"/>
      <c r="M75" s="136"/>
      <c r="N75" s="136"/>
    </row>
    <row r="76" spans="1:14" ht="12.75">
      <c r="A76" s="136"/>
      <c r="B76" s="136"/>
      <c r="C76" s="162"/>
      <c r="D76" s="136"/>
      <c r="E76" s="136"/>
      <c r="F76" s="136"/>
      <c r="G76" s="136"/>
      <c r="H76" s="136"/>
      <c r="I76" s="136"/>
      <c r="J76" s="136"/>
      <c r="K76" s="136"/>
      <c r="L76" s="136"/>
      <c r="M76" s="136"/>
      <c r="N76" s="136"/>
    </row>
    <row r="77" spans="1:14" ht="12.75">
      <c r="A77" s="136"/>
      <c r="B77" s="136"/>
      <c r="C77" s="162"/>
      <c r="D77" s="136"/>
      <c r="E77" s="136"/>
      <c r="F77" s="136"/>
      <c r="G77" s="136"/>
      <c r="H77" s="136"/>
      <c r="I77" s="136"/>
      <c r="J77" s="136"/>
      <c r="K77" s="136"/>
      <c r="L77" s="136"/>
      <c r="M77" s="136"/>
      <c r="N77" s="136"/>
    </row>
    <row r="78" spans="1:14" ht="12.75">
      <c r="A78" s="136"/>
      <c r="B78" s="136"/>
      <c r="C78" s="162"/>
      <c r="D78" s="136"/>
      <c r="E78" s="136"/>
      <c r="F78" s="136"/>
      <c r="G78" s="136"/>
      <c r="H78" s="136"/>
      <c r="I78" s="136"/>
      <c r="J78" s="136"/>
      <c r="K78" s="136"/>
      <c r="L78" s="136"/>
      <c r="M78" s="136"/>
      <c r="N78" s="136"/>
    </row>
    <row r="79" spans="1:14" ht="12.75">
      <c r="A79" s="136"/>
      <c r="B79" s="136"/>
      <c r="C79" s="162"/>
      <c r="D79" s="136"/>
      <c r="E79" s="136"/>
      <c r="F79" s="136"/>
      <c r="G79" s="136"/>
      <c r="H79" s="136"/>
      <c r="I79" s="136"/>
      <c r="J79" s="136"/>
      <c r="K79" s="136"/>
      <c r="L79" s="136"/>
      <c r="M79" s="136"/>
      <c r="N79" s="136"/>
    </row>
    <row r="80" spans="1:14" ht="12.75">
      <c r="A80" s="136"/>
      <c r="B80" s="136"/>
      <c r="C80" s="162"/>
      <c r="D80" s="136"/>
      <c r="E80" s="136"/>
      <c r="F80" s="136"/>
      <c r="G80" s="136"/>
      <c r="H80" s="136"/>
      <c r="I80" s="136"/>
      <c r="J80" s="136"/>
      <c r="K80" s="136"/>
      <c r="L80" s="136"/>
      <c r="M80" s="136"/>
      <c r="N80" s="136"/>
    </row>
    <row r="81" spans="1:14" ht="12.75">
      <c r="A81" s="136"/>
      <c r="B81" s="136"/>
      <c r="C81" s="162"/>
      <c r="D81" s="136"/>
      <c r="E81" s="136"/>
      <c r="F81" s="136"/>
      <c r="G81" s="136"/>
      <c r="H81" s="136"/>
      <c r="I81" s="136"/>
      <c r="J81" s="136"/>
      <c r="K81" s="136"/>
      <c r="L81" s="136"/>
      <c r="M81" s="136"/>
      <c r="N81" s="136"/>
    </row>
    <row r="82" spans="1:14" ht="12.75">
      <c r="A82" s="136"/>
      <c r="B82" s="136"/>
      <c r="C82" s="162"/>
      <c r="D82" s="136"/>
      <c r="E82" s="136"/>
      <c r="F82" s="136"/>
      <c r="G82" s="136"/>
      <c r="H82" s="136"/>
      <c r="I82" s="136"/>
      <c r="J82" s="136"/>
      <c r="K82" s="136"/>
      <c r="L82" s="136"/>
      <c r="M82" s="136"/>
      <c r="N82" s="136"/>
    </row>
    <row r="83" spans="1:14" ht="12.75">
      <c r="A83" s="136"/>
      <c r="B83" s="136"/>
      <c r="C83" s="162"/>
      <c r="D83" s="136"/>
      <c r="E83" s="136"/>
      <c r="F83" s="136"/>
      <c r="G83" s="136"/>
      <c r="H83" s="136"/>
      <c r="I83" s="136"/>
      <c r="J83" s="136"/>
      <c r="K83" s="136"/>
      <c r="L83" s="136"/>
      <c r="M83" s="136"/>
      <c r="N83" s="136"/>
    </row>
    <row r="84" spans="1:14" ht="12.75">
      <c r="A84" s="136"/>
      <c r="B84" s="136"/>
      <c r="C84" s="162"/>
      <c r="D84" s="136"/>
      <c r="E84" s="136"/>
      <c r="F84" s="136"/>
      <c r="G84" s="136"/>
      <c r="H84" s="136"/>
      <c r="I84" s="136"/>
      <c r="J84" s="136"/>
      <c r="K84" s="136"/>
      <c r="L84" s="136"/>
      <c r="M84" s="136"/>
      <c r="N84" s="136"/>
    </row>
    <row r="85" spans="1:14" ht="12.75">
      <c r="A85" s="136"/>
      <c r="B85" s="136"/>
      <c r="C85" s="162"/>
      <c r="D85" s="136"/>
      <c r="E85" s="136"/>
      <c r="F85" s="136"/>
      <c r="G85" s="136"/>
      <c r="H85" s="136"/>
      <c r="I85" s="136"/>
      <c r="J85" s="136"/>
      <c r="K85" s="136"/>
      <c r="L85" s="136"/>
      <c r="M85" s="136"/>
      <c r="N85" s="136"/>
    </row>
    <row r="86" spans="1:14" ht="12.75">
      <c r="A86" s="136"/>
      <c r="B86" s="136"/>
      <c r="C86" s="162"/>
      <c r="D86" s="136"/>
      <c r="E86" s="136"/>
      <c r="F86" s="136"/>
      <c r="G86" s="136"/>
      <c r="H86" s="136"/>
      <c r="I86" s="136"/>
      <c r="J86" s="136"/>
      <c r="K86" s="136"/>
      <c r="L86" s="136"/>
      <c r="M86" s="136"/>
      <c r="N86" s="136"/>
    </row>
    <row r="87" spans="1:14" ht="12.75">
      <c r="A87" s="136"/>
      <c r="B87" s="136"/>
      <c r="C87" s="162"/>
      <c r="D87" s="136"/>
      <c r="E87" s="136"/>
      <c r="F87" s="136"/>
      <c r="G87" s="136"/>
      <c r="H87" s="136"/>
      <c r="I87" s="136"/>
      <c r="J87" s="136"/>
      <c r="K87" s="136"/>
      <c r="L87" s="136"/>
      <c r="M87" s="136"/>
      <c r="N87" s="136"/>
    </row>
    <row r="88" spans="1:14" ht="12.75">
      <c r="A88" s="136"/>
      <c r="B88" s="136"/>
      <c r="C88" s="162"/>
      <c r="D88" s="136"/>
      <c r="E88" s="136"/>
      <c r="F88" s="136"/>
      <c r="G88" s="136"/>
      <c r="H88" s="136"/>
      <c r="I88" s="136"/>
      <c r="J88" s="136"/>
      <c r="K88" s="136"/>
      <c r="L88" s="136"/>
      <c r="M88" s="136"/>
      <c r="N88" s="136"/>
    </row>
  </sheetData>
  <sheetProtection/>
  <printOptions/>
  <pageMargins left="0.787401575" right="0.787401575" top="0.984251969" bottom="0.984251969" header="0.4921259845" footer="0.4921259845"/>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A1:N89"/>
  <sheetViews>
    <sheetView zoomScalePageLayoutView="0" workbookViewId="0" topLeftCell="A1">
      <selection activeCell="B12" sqref="B12"/>
    </sheetView>
  </sheetViews>
  <sheetFormatPr defaultColWidth="11.421875" defaultRowHeight="12.75"/>
  <cols>
    <col min="1" max="1" width="3.00390625" style="0" customWidth="1"/>
    <col min="2" max="2" width="74.7109375" style="0" customWidth="1"/>
    <col min="4" max="4" width="11.421875" style="116" customWidth="1"/>
    <col min="5" max="5" width="13.8515625" style="0" customWidth="1"/>
    <col min="6" max="6" width="12.7109375" style="0" customWidth="1"/>
  </cols>
  <sheetData>
    <row r="1" spans="1:14" ht="18.75" customHeight="1" thickBot="1">
      <c r="A1" s="100" t="s">
        <v>288</v>
      </c>
      <c r="B1" s="101"/>
      <c r="C1" s="136"/>
      <c r="D1" s="136"/>
      <c r="E1" s="136"/>
      <c r="F1" s="136"/>
      <c r="G1" s="130"/>
      <c r="H1" s="130"/>
      <c r="I1" s="130"/>
      <c r="J1" s="130"/>
      <c r="K1" s="130"/>
      <c r="L1" s="130"/>
      <c r="M1" s="130"/>
      <c r="N1" s="130"/>
    </row>
    <row r="2" spans="1:14" ht="31.5" customHeight="1" thickBot="1">
      <c r="A2" s="136"/>
      <c r="B2" s="112" t="s">
        <v>312</v>
      </c>
      <c r="C2" s="93" t="s">
        <v>32</v>
      </c>
      <c r="D2" s="169" t="s">
        <v>185</v>
      </c>
      <c r="E2" s="8" t="s">
        <v>180</v>
      </c>
      <c r="F2" s="49" t="s">
        <v>30</v>
      </c>
      <c r="G2" s="130"/>
      <c r="H2" s="130"/>
      <c r="I2" s="130"/>
      <c r="J2" s="130"/>
      <c r="K2" s="130"/>
      <c r="L2" s="130"/>
      <c r="M2" s="130"/>
      <c r="N2" s="130"/>
    </row>
    <row r="3" spans="1:14" ht="31.5" customHeight="1" thickBot="1">
      <c r="A3" s="136"/>
      <c r="B3" s="31" t="s">
        <v>262</v>
      </c>
      <c r="C3" s="76" t="s">
        <v>0</v>
      </c>
      <c r="D3" s="72" t="s">
        <v>110</v>
      </c>
      <c r="E3" s="37" t="s">
        <v>269</v>
      </c>
      <c r="F3" s="50" t="s">
        <v>1</v>
      </c>
      <c r="G3" s="130"/>
      <c r="H3" s="130"/>
      <c r="I3" s="130"/>
      <c r="J3" s="130"/>
      <c r="K3" s="130"/>
      <c r="L3" s="130"/>
      <c r="M3" s="130"/>
      <c r="N3" s="130"/>
    </row>
    <row r="4" spans="1:14" ht="47.25" customHeight="1" thickBot="1">
      <c r="A4" s="136"/>
      <c r="B4" s="168" t="s">
        <v>272</v>
      </c>
      <c r="C4" s="136"/>
      <c r="D4" s="136"/>
      <c r="E4" s="136"/>
      <c r="F4" s="136"/>
      <c r="G4" s="130"/>
      <c r="H4" s="130"/>
      <c r="I4" s="130"/>
      <c r="J4" s="130"/>
      <c r="K4" s="130"/>
      <c r="L4" s="130"/>
      <c r="M4" s="130"/>
      <c r="N4" s="130"/>
    </row>
    <row r="5" spans="1:14" ht="13.5" thickBot="1">
      <c r="A5" s="136"/>
      <c r="B5" s="6" t="s">
        <v>263</v>
      </c>
      <c r="C5" s="82">
        <v>0</v>
      </c>
      <c r="D5" s="94">
        <f>C5*1.769</f>
        <v>0</v>
      </c>
      <c r="E5" s="13">
        <v>0.151</v>
      </c>
      <c r="F5" s="63">
        <f aca="true" t="shared" si="0" ref="F5:F10">C5*E5</f>
        <v>0</v>
      </c>
      <c r="G5" s="130"/>
      <c r="H5" s="130"/>
      <c r="I5" s="130"/>
      <c r="J5" s="130"/>
      <c r="K5" s="130"/>
      <c r="L5" s="130"/>
      <c r="M5" s="130"/>
      <c r="N5" s="130"/>
    </row>
    <row r="6" spans="1:14" ht="13.5" thickBot="1">
      <c r="A6" s="136"/>
      <c r="B6" s="6" t="s">
        <v>264</v>
      </c>
      <c r="C6" s="82">
        <f>Distribution!P20</f>
        <v>0</v>
      </c>
      <c r="D6" s="94">
        <f>C6*1.333</f>
        <v>0</v>
      </c>
      <c r="E6" s="13">
        <v>0.149</v>
      </c>
      <c r="F6" s="63">
        <f t="shared" si="0"/>
        <v>0</v>
      </c>
      <c r="G6" s="130"/>
      <c r="H6" s="130"/>
      <c r="I6" s="130"/>
      <c r="J6" s="130"/>
      <c r="K6" s="130"/>
      <c r="L6" s="130"/>
      <c r="M6" s="130"/>
      <c r="N6" s="130"/>
    </row>
    <row r="7" spans="1:14" ht="13.5" thickBot="1">
      <c r="A7" s="136"/>
      <c r="B7" s="6" t="s">
        <v>265</v>
      </c>
      <c r="C7" s="82">
        <f>Distribution!Q20+Distribution!R102</f>
        <v>0</v>
      </c>
      <c r="D7" s="94">
        <f>C7*1.176</f>
        <v>0</v>
      </c>
      <c r="E7" s="13">
        <v>0.092</v>
      </c>
      <c r="F7" s="63">
        <f t="shared" si="0"/>
        <v>0</v>
      </c>
      <c r="G7" s="130"/>
      <c r="H7" s="130"/>
      <c r="I7" s="130"/>
      <c r="J7" s="130"/>
      <c r="K7" s="130"/>
      <c r="L7" s="130"/>
      <c r="M7" s="130"/>
      <c r="N7" s="130"/>
    </row>
    <row r="8" spans="1:14" ht="13.5" thickBot="1">
      <c r="A8" s="136"/>
      <c r="B8" s="20" t="s">
        <v>267</v>
      </c>
      <c r="C8" s="95">
        <v>0</v>
      </c>
      <c r="D8" s="94">
        <f>C8*1.142</f>
        <v>0</v>
      </c>
      <c r="E8" s="29">
        <v>0.092</v>
      </c>
      <c r="F8" s="63">
        <f t="shared" si="0"/>
        <v>0</v>
      </c>
      <c r="G8" s="130"/>
      <c r="H8" s="130"/>
      <c r="I8" s="130"/>
      <c r="J8" s="130"/>
      <c r="K8" s="130"/>
      <c r="L8" s="130"/>
      <c r="M8" s="130"/>
      <c r="N8" s="130"/>
    </row>
    <row r="9" spans="1:14" ht="13.5" thickBot="1">
      <c r="A9" s="130"/>
      <c r="B9" s="23" t="s">
        <v>266</v>
      </c>
      <c r="C9" s="82">
        <f>Distribution!Q102</f>
        <v>0</v>
      </c>
      <c r="D9" s="94">
        <f>C9*1.025</f>
        <v>0</v>
      </c>
      <c r="E9" s="94">
        <v>0.117</v>
      </c>
      <c r="F9" s="63">
        <f t="shared" si="0"/>
        <v>0</v>
      </c>
      <c r="G9" s="130"/>
      <c r="H9" s="130"/>
      <c r="I9" s="130"/>
      <c r="J9" s="130"/>
      <c r="K9" s="130"/>
      <c r="L9" s="130"/>
      <c r="M9" s="130"/>
      <c r="N9" s="130"/>
    </row>
    <row r="10" spans="1:14" ht="13.5" thickBot="1">
      <c r="A10" s="130"/>
      <c r="B10" s="23" t="s">
        <v>268</v>
      </c>
      <c r="C10" s="82">
        <f>Distribution!M44</f>
        <v>0</v>
      </c>
      <c r="D10" s="94">
        <f>C10*1.25</f>
        <v>0</v>
      </c>
      <c r="E10" s="94">
        <v>0.079</v>
      </c>
      <c r="F10" s="63">
        <f t="shared" si="0"/>
        <v>0</v>
      </c>
      <c r="G10" s="130"/>
      <c r="H10" s="130"/>
      <c r="I10" s="130"/>
      <c r="J10" s="130"/>
      <c r="K10" s="130"/>
      <c r="L10" s="130"/>
      <c r="M10" s="130"/>
      <c r="N10" s="130"/>
    </row>
    <row r="11" spans="1:14" ht="13.5" thickBot="1">
      <c r="A11" s="130"/>
      <c r="B11" s="130"/>
      <c r="C11" s="130"/>
      <c r="D11" s="130"/>
      <c r="E11" s="167" t="s">
        <v>54</v>
      </c>
      <c r="F11" s="25">
        <f>SUM(F5:F10)</f>
        <v>0</v>
      </c>
      <c r="G11" s="130"/>
      <c r="H11" s="130"/>
      <c r="I11" s="130"/>
      <c r="J11" s="130"/>
      <c r="K11" s="130"/>
      <c r="L11" s="130"/>
      <c r="M11" s="130"/>
      <c r="N11" s="130"/>
    </row>
    <row r="12" spans="1:14" ht="12.75">
      <c r="A12" s="130"/>
      <c r="B12" s="130"/>
      <c r="C12" s="130"/>
      <c r="D12" s="130"/>
      <c r="E12" s="130"/>
      <c r="F12" s="130"/>
      <c r="G12" s="130"/>
      <c r="H12" s="130"/>
      <c r="I12" s="130"/>
      <c r="J12" s="130"/>
      <c r="K12" s="130"/>
      <c r="L12" s="130"/>
      <c r="M12" s="130"/>
      <c r="N12" s="130"/>
    </row>
    <row r="13" spans="1:14" ht="31.5" customHeight="1" thickBot="1">
      <c r="A13" s="130"/>
      <c r="B13" s="1"/>
      <c r="C13" s="93" t="s">
        <v>32</v>
      </c>
      <c r="D13" s="169" t="s">
        <v>185</v>
      </c>
      <c r="E13" s="8" t="s">
        <v>181</v>
      </c>
      <c r="F13" s="49" t="s">
        <v>30</v>
      </c>
      <c r="G13" s="130"/>
      <c r="H13" s="130"/>
      <c r="I13" s="130"/>
      <c r="J13" s="130"/>
      <c r="K13" s="130"/>
      <c r="L13" s="130"/>
      <c r="M13" s="130"/>
      <c r="N13" s="130"/>
    </row>
    <row r="14" spans="1:14" ht="31.5" customHeight="1" thickBot="1">
      <c r="A14" s="130"/>
      <c r="B14" s="31" t="s">
        <v>293</v>
      </c>
      <c r="C14" s="76" t="s">
        <v>0</v>
      </c>
      <c r="D14" s="72" t="s">
        <v>175</v>
      </c>
      <c r="E14" s="37" t="s">
        <v>269</v>
      </c>
      <c r="F14" s="50" t="s">
        <v>1</v>
      </c>
      <c r="G14" s="130"/>
      <c r="H14" s="130"/>
      <c r="I14" s="130"/>
      <c r="J14" s="130"/>
      <c r="K14" s="130"/>
      <c r="L14" s="130"/>
      <c r="M14" s="130"/>
      <c r="N14" s="130"/>
    </row>
    <row r="15" spans="1:14" ht="47.25" customHeight="1" thickBot="1">
      <c r="A15" s="130"/>
      <c r="B15" s="168" t="s">
        <v>273</v>
      </c>
      <c r="C15" s="136"/>
      <c r="D15" s="136"/>
      <c r="E15" s="136"/>
      <c r="F15" s="136"/>
      <c r="G15" s="130"/>
      <c r="H15" s="130"/>
      <c r="I15" s="130"/>
      <c r="J15" s="130"/>
      <c r="K15" s="130"/>
      <c r="L15" s="130"/>
      <c r="M15" s="130"/>
      <c r="N15" s="130"/>
    </row>
    <row r="16" spans="1:14" ht="13.5" thickBot="1">
      <c r="A16" s="130"/>
      <c r="B16" s="6" t="s">
        <v>270</v>
      </c>
      <c r="C16" s="82">
        <v>0</v>
      </c>
      <c r="D16" s="94">
        <f>C16*1.388</f>
        <v>0</v>
      </c>
      <c r="E16" s="13">
        <v>0.099</v>
      </c>
      <c r="F16" s="63">
        <f>C16*E16</f>
        <v>0</v>
      </c>
      <c r="G16" s="130"/>
      <c r="H16" s="130"/>
      <c r="I16" s="130"/>
      <c r="J16" s="130"/>
      <c r="K16" s="130"/>
      <c r="L16" s="130"/>
      <c r="M16" s="130"/>
      <c r="N16" s="130"/>
    </row>
    <row r="17" spans="1:14" ht="13.5" thickBot="1">
      <c r="A17" s="130"/>
      <c r="B17" s="130"/>
      <c r="C17" s="130"/>
      <c r="D17" s="130"/>
      <c r="E17" s="167" t="s">
        <v>54</v>
      </c>
      <c r="F17" s="25">
        <f>SUM(F16:F16)</f>
        <v>0</v>
      </c>
      <c r="G17" s="130"/>
      <c r="H17" s="130"/>
      <c r="I17" s="130"/>
      <c r="J17" s="130"/>
      <c r="K17" s="130"/>
      <c r="L17" s="130"/>
      <c r="M17" s="130"/>
      <c r="N17" s="130"/>
    </row>
    <row r="18" spans="1:14" ht="12.75">
      <c r="A18" s="130"/>
      <c r="B18" s="130"/>
      <c r="C18" s="130"/>
      <c r="D18" s="130"/>
      <c r="E18" s="130"/>
      <c r="G18" s="130"/>
      <c r="H18" s="130"/>
      <c r="I18" s="130"/>
      <c r="J18" s="130"/>
      <c r="K18" s="130"/>
      <c r="L18" s="130"/>
      <c r="M18" s="130"/>
      <c r="N18" s="130"/>
    </row>
    <row r="19" spans="1:14" ht="31.5" customHeight="1" thickBot="1">
      <c r="A19" s="130"/>
      <c r="B19" s="1"/>
      <c r="C19" s="225" t="s">
        <v>32</v>
      </c>
      <c r="D19" s="226"/>
      <c r="E19" s="8" t="s">
        <v>180</v>
      </c>
      <c r="F19" s="49" t="s">
        <v>30</v>
      </c>
      <c r="G19" s="130"/>
      <c r="H19" s="130"/>
      <c r="I19" s="130"/>
      <c r="J19" s="130"/>
      <c r="K19" s="130"/>
      <c r="L19" s="130"/>
      <c r="M19" s="130"/>
      <c r="N19" s="130"/>
    </row>
    <row r="20" spans="1:14" ht="31.5" customHeight="1" thickBot="1">
      <c r="A20" s="130"/>
      <c r="B20" s="31" t="s">
        <v>274</v>
      </c>
      <c r="C20" s="227" t="s">
        <v>0</v>
      </c>
      <c r="D20" s="228"/>
      <c r="E20" s="37" t="s">
        <v>269</v>
      </c>
      <c r="F20" s="50" t="s">
        <v>1</v>
      </c>
      <c r="G20" s="130"/>
      <c r="H20" s="130"/>
      <c r="I20" s="130"/>
      <c r="J20" s="130"/>
      <c r="K20" s="130"/>
      <c r="L20" s="130"/>
      <c r="M20" s="130"/>
      <c r="N20" s="130"/>
    </row>
    <row r="21" spans="1:14" ht="47.25" customHeight="1" thickBot="1">
      <c r="A21" s="130"/>
      <c r="B21" s="168" t="s">
        <v>275</v>
      </c>
      <c r="C21" s="136"/>
      <c r="D21" s="136"/>
      <c r="E21" s="136"/>
      <c r="F21" s="136"/>
      <c r="G21" s="130"/>
      <c r="H21" s="130"/>
      <c r="I21" s="130"/>
      <c r="J21" s="130"/>
      <c r="K21" s="130"/>
      <c r="L21" s="130"/>
      <c r="M21" s="130"/>
      <c r="N21" s="130"/>
    </row>
    <row r="22" spans="1:14" ht="13.5" thickBot="1">
      <c r="A22" s="130"/>
      <c r="B22" s="6" t="s">
        <v>276</v>
      </c>
      <c r="C22" s="229">
        <v>0</v>
      </c>
      <c r="D22" s="230"/>
      <c r="E22" s="13">
        <v>0.058</v>
      </c>
      <c r="F22" s="63">
        <f aca="true" t="shared" si="1" ref="F22:F33">C22*E22</f>
        <v>0</v>
      </c>
      <c r="G22" s="130"/>
      <c r="H22" s="130"/>
      <c r="I22" s="130"/>
      <c r="J22" s="130"/>
      <c r="K22" s="130"/>
      <c r="L22" s="130"/>
      <c r="M22" s="130"/>
      <c r="N22" s="130"/>
    </row>
    <row r="23" spans="1:14" ht="13.5" thickBot="1">
      <c r="A23" s="130"/>
      <c r="B23" s="6" t="s">
        <v>277</v>
      </c>
      <c r="C23" s="215">
        <v>0</v>
      </c>
      <c r="D23" s="216"/>
      <c r="E23" s="13">
        <v>0.058</v>
      </c>
      <c r="F23" s="63">
        <f t="shared" si="1"/>
        <v>0</v>
      </c>
      <c r="G23" s="130"/>
      <c r="H23" s="130"/>
      <c r="I23" s="130"/>
      <c r="J23" s="130"/>
      <c r="K23" s="130"/>
      <c r="L23" s="130"/>
      <c r="M23" s="130"/>
      <c r="N23" s="130"/>
    </row>
    <row r="24" spans="1:14" ht="13.5" thickBot="1">
      <c r="A24" s="130"/>
      <c r="B24" s="6" t="s">
        <v>279</v>
      </c>
      <c r="C24" s="223">
        <v>0</v>
      </c>
      <c r="D24" s="224"/>
      <c r="E24" s="13">
        <v>0.059</v>
      </c>
      <c r="F24" s="63">
        <f t="shared" si="1"/>
        <v>0</v>
      </c>
      <c r="G24" s="130"/>
      <c r="H24" s="130"/>
      <c r="I24" s="130"/>
      <c r="J24" s="130"/>
      <c r="K24" s="130"/>
      <c r="L24" s="130"/>
      <c r="M24" s="130"/>
      <c r="N24" s="130"/>
    </row>
    <row r="25" spans="1:14" ht="13.5" thickBot="1">
      <c r="A25" s="130"/>
      <c r="B25" s="20" t="s">
        <v>278</v>
      </c>
      <c r="C25" s="215">
        <v>0</v>
      </c>
      <c r="D25" s="216"/>
      <c r="E25" s="29">
        <v>0.071</v>
      </c>
      <c r="F25" s="63">
        <f t="shared" si="1"/>
        <v>0</v>
      </c>
      <c r="G25" s="130"/>
      <c r="H25" s="130"/>
      <c r="I25" s="130"/>
      <c r="J25" s="130"/>
      <c r="K25" s="130"/>
      <c r="L25" s="130"/>
      <c r="M25" s="130"/>
      <c r="N25" s="130"/>
    </row>
    <row r="26" spans="1:14" ht="13.5" thickBot="1">
      <c r="A26" s="130"/>
      <c r="B26" s="6" t="s">
        <v>280</v>
      </c>
      <c r="C26" s="223">
        <v>0</v>
      </c>
      <c r="D26" s="224"/>
      <c r="E26" s="94">
        <v>0.04</v>
      </c>
      <c r="F26" s="63">
        <f t="shared" si="1"/>
        <v>0</v>
      </c>
      <c r="G26" s="130"/>
      <c r="H26" s="130"/>
      <c r="I26" s="130"/>
      <c r="J26" s="130"/>
      <c r="K26" s="130"/>
      <c r="L26" s="130"/>
      <c r="M26" s="130"/>
      <c r="N26" s="130"/>
    </row>
    <row r="27" spans="1:14" ht="13.5" thickBot="1">
      <c r="A27" s="130"/>
      <c r="B27" s="23" t="s">
        <v>281</v>
      </c>
      <c r="C27" s="215">
        <v>0</v>
      </c>
      <c r="D27" s="216"/>
      <c r="E27" s="94">
        <v>0.039</v>
      </c>
      <c r="F27" s="63">
        <f t="shared" si="1"/>
        <v>0</v>
      </c>
      <c r="G27" s="130"/>
      <c r="H27" s="130"/>
      <c r="I27" s="130"/>
      <c r="J27" s="130"/>
      <c r="K27" s="130"/>
      <c r="L27" s="130"/>
      <c r="M27" s="130"/>
      <c r="N27" s="130"/>
    </row>
    <row r="28" spans="1:14" ht="13.5" thickBot="1">
      <c r="A28" s="130"/>
      <c r="B28" s="23" t="s">
        <v>282</v>
      </c>
      <c r="C28" s="223">
        <v>0</v>
      </c>
      <c r="D28" s="224"/>
      <c r="E28" s="94">
        <v>0.07</v>
      </c>
      <c r="F28" s="63">
        <f t="shared" si="1"/>
        <v>0</v>
      </c>
      <c r="G28" s="130"/>
      <c r="H28" s="130"/>
      <c r="I28" s="130"/>
      <c r="J28" s="130"/>
      <c r="K28" s="130"/>
      <c r="L28" s="130"/>
      <c r="M28" s="130"/>
      <c r="N28" s="130"/>
    </row>
    <row r="29" spans="1:14" ht="13.5" thickBot="1">
      <c r="A29" s="130"/>
      <c r="B29" s="23" t="s">
        <v>283</v>
      </c>
      <c r="C29" s="215">
        <v>0</v>
      </c>
      <c r="D29" s="216"/>
      <c r="E29" s="94">
        <v>0.043</v>
      </c>
      <c r="F29" s="63">
        <f t="shared" si="1"/>
        <v>0</v>
      </c>
      <c r="G29" s="130"/>
      <c r="H29" s="130"/>
      <c r="I29" s="130"/>
      <c r="J29" s="130"/>
      <c r="K29" s="130"/>
      <c r="L29" s="130"/>
      <c r="M29" s="130"/>
      <c r="N29" s="130"/>
    </row>
    <row r="30" spans="1:14" ht="13.5" thickBot="1">
      <c r="A30" s="130"/>
      <c r="B30" s="23" t="s">
        <v>284</v>
      </c>
      <c r="C30" s="223">
        <v>0</v>
      </c>
      <c r="D30" s="224"/>
      <c r="E30" s="94">
        <v>0.072</v>
      </c>
      <c r="F30" s="63">
        <f t="shared" si="1"/>
        <v>0</v>
      </c>
      <c r="G30" s="130"/>
      <c r="H30" s="130"/>
      <c r="I30" s="130"/>
      <c r="J30" s="130"/>
      <c r="K30" s="130"/>
      <c r="L30" s="130"/>
      <c r="M30" s="130"/>
      <c r="N30" s="130"/>
    </row>
    <row r="31" spans="1:14" ht="13.5" thickBot="1">
      <c r="A31" s="130"/>
      <c r="B31" s="23" t="s">
        <v>285</v>
      </c>
      <c r="C31" s="215">
        <v>0</v>
      </c>
      <c r="D31" s="216"/>
      <c r="E31" s="94">
        <v>0.03</v>
      </c>
      <c r="F31" s="63">
        <f t="shared" si="1"/>
        <v>0</v>
      </c>
      <c r="G31" s="130"/>
      <c r="H31" s="130"/>
      <c r="I31" s="130"/>
      <c r="J31" s="130"/>
      <c r="K31" s="130"/>
      <c r="L31" s="130"/>
      <c r="M31" s="130"/>
      <c r="N31" s="130"/>
    </row>
    <row r="32" spans="1:14" ht="13.5" thickBot="1">
      <c r="A32" s="130"/>
      <c r="B32" s="23" t="s">
        <v>286</v>
      </c>
      <c r="C32" s="215">
        <v>0</v>
      </c>
      <c r="D32" s="216"/>
      <c r="E32" s="94">
        <v>0.023</v>
      </c>
      <c r="F32" s="63">
        <f t="shared" si="1"/>
        <v>0</v>
      </c>
      <c r="G32" s="130"/>
      <c r="H32" s="130"/>
      <c r="I32" s="130"/>
      <c r="J32" s="130"/>
      <c r="K32" s="130"/>
      <c r="L32" s="130"/>
      <c r="M32" s="130"/>
      <c r="N32" s="130"/>
    </row>
    <row r="33" spans="1:14" ht="13.5" thickBot="1">
      <c r="A33" s="130"/>
      <c r="B33" s="23" t="s">
        <v>287</v>
      </c>
      <c r="C33" s="217">
        <v>0</v>
      </c>
      <c r="D33" s="218"/>
      <c r="E33" s="94">
        <v>0.077</v>
      </c>
      <c r="F33" s="63">
        <f t="shared" si="1"/>
        <v>0</v>
      </c>
      <c r="G33" s="130"/>
      <c r="H33" s="130"/>
      <c r="I33" s="130"/>
      <c r="J33" s="130"/>
      <c r="K33" s="130"/>
      <c r="L33" s="130"/>
      <c r="M33" s="130"/>
      <c r="N33" s="130"/>
    </row>
    <row r="34" spans="1:14" ht="13.5" thickBot="1">
      <c r="A34" s="130"/>
      <c r="B34" s="130"/>
      <c r="C34" s="130"/>
      <c r="D34" s="130"/>
      <c r="E34" s="167" t="s">
        <v>54</v>
      </c>
      <c r="F34" s="25">
        <f>SUM(F22:F33)</f>
        <v>0</v>
      </c>
      <c r="G34" s="130"/>
      <c r="H34" s="130"/>
      <c r="I34" s="130"/>
      <c r="J34" s="130"/>
      <c r="K34" s="130"/>
      <c r="L34" s="130"/>
      <c r="M34" s="130"/>
      <c r="N34" s="130"/>
    </row>
    <row r="35" spans="1:14" ht="13.5" thickBot="1">
      <c r="A35" s="130"/>
      <c r="B35" s="130"/>
      <c r="C35" s="130"/>
      <c r="D35" s="130"/>
      <c r="E35" s="130"/>
      <c r="G35" s="130"/>
      <c r="H35" s="130"/>
      <c r="I35" s="130"/>
      <c r="J35" s="130"/>
      <c r="K35" s="130"/>
      <c r="L35" s="130"/>
      <c r="M35" s="130"/>
      <c r="N35" s="130"/>
    </row>
    <row r="36" spans="1:14" ht="31.5" customHeight="1">
      <c r="A36" s="130"/>
      <c r="B36" s="130"/>
      <c r="C36" s="130"/>
      <c r="D36" s="130"/>
      <c r="E36" s="130"/>
      <c r="F36" s="51" t="s">
        <v>30</v>
      </c>
      <c r="G36" s="130"/>
      <c r="H36" s="130"/>
      <c r="I36" s="130"/>
      <c r="J36" s="130"/>
      <c r="K36" s="130"/>
      <c r="L36" s="130"/>
      <c r="M36" s="130"/>
      <c r="N36" s="130"/>
    </row>
    <row r="37" spans="1:14" ht="31.5" customHeight="1" thickBot="1">
      <c r="A37" s="130"/>
      <c r="B37" s="130"/>
      <c r="C37" s="130"/>
      <c r="D37" s="130"/>
      <c r="E37" s="130"/>
      <c r="F37" s="52" t="s">
        <v>271</v>
      </c>
      <c r="G37" s="130"/>
      <c r="H37" s="130"/>
      <c r="I37" s="130"/>
      <c r="J37" s="130"/>
      <c r="K37" s="130"/>
      <c r="L37" s="130"/>
      <c r="M37" s="130"/>
      <c r="N37" s="130"/>
    </row>
    <row r="38" spans="1:14" ht="13.5" thickBot="1">
      <c r="A38" s="130"/>
      <c r="B38" s="130"/>
      <c r="C38" s="130"/>
      <c r="D38" s="130"/>
      <c r="E38" s="164" t="s">
        <v>54</v>
      </c>
      <c r="F38" s="5">
        <f>F34+F17+F11</f>
        <v>0</v>
      </c>
      <c r="G38" s="130"/>
      <c r="H38" s="130"/>
      <c r="I38" s="130"/>
      <c r="J38" s="130"/>
      <c r="K38" s="130"/>
      <c r="L38" s="130"/>
      <c r="M38" s="130"/>
      <c r="N38" s="130"/>
    </row>
    <row r="39" spans="1:14" ht="13.5" thickBot="1">
      <c r="A39" s="130"/>
      <c r="B39" s="130"/>
      <c r="C39" s="130"/>
      <c r="D39" s="130"/>
      <c r="E39" s="130"/>
      <c r="F39" s="53" t="s">
        <v>1</v>
      </c>
      <c r="G39" s="130"/>
      <c r="H39" s="130"/>
      <c r="I39" s="130"/>
      <c r="J39" s="130"/>
      <c r="K39" s="130"/>
      <c r="L39" s="130"/>
      <c r="M39" s="130"/>
      <c r="N39" s="130"/>
    </row>
    <row r="40" spans="1:14" ht="13.5" thickBot="1">
      <c r="A40" s="130"/>
      <c r="B40" s="130"/>
      <c r="C40" s="130"/>
      <c r="D40" s="130"/>
      <c r="E40" s="130"/>
      <c r="F40" s="130"/>
      <c r="G40" s="130"/>
      <c r="H40" s="130"/>
      <c r="I40" s="130"/>
      <c r="J40" s="130"/>
      <c r="K40" s="130"/>
      <c r="L40" s="130"/>
      <c r="M40" s="130"/>
      <c r="N40" s="130"/>
    </row>
    <row r="41" spans="1:14" ht="18.75" customHeight="1" thickBot="1">
      <c r="A41" s="98" t="s">
        <v>289</v>
      </c>
      <c r="B41" s="99"/>
      <c r="C41" s="136"/>
      <c r="D41" s="136"/>
      <c r="E41" s="136"/>
      <c r="F41" s="136"/>
      <c r="G41" s="130"/>
      <c r="H41" s="130"/>
      <c r="I41" s="130"/>
      <c r="J41" s="130"/>
      <c r="K41" s="130"/>
      <c r="L41" s="130"/>
      <c r="M41" s="130"/>
      <c r="N41" s="130"/>
    </row>
    <row r="42" spans="1:14" ht="31.5" customHeight="1" thickBot="1">
      <c r="A42" s="136"/>
      <c r="B42" s="1"/>
      <c r="C42" s="87" t="s">
        <v>32</v>
      </c>
      <c r="D42" s="117" t="s">
        <v>185</v>
      </c>
      <c r="E42" s="8" t="s">
        <v>180</v>
      </c>
      <c r="F42" s="120" t="s">
        <v>30</v>
      </c>
      <c r="G42" s="130"/>
      <c r="H42" s="130"/>
      <c r="I42" s="130"/>
      <c r="J42" s="130"/>
      <c r="K42" s="130"/>
      <c r="L42" s="130"/>
      <c r="M42" s="130"/>
      <c r="N42" s="130"/>
    </row>
    <row r="43" spans="1:14" ht="31.5" customHeight="1" thickBot="1">
      <c r="A43" s="136"/>
      <c r="B43" s="96" t="s">
        <v>262</v>
      </c>
      <c r="C43" s="88" t="s">
        <v>0</v>
      </c>
      <c r="D43" s="118" t="s">
        <v>110</v>
      </c>
      <c r="E43" s="37" t="s">
        <v>269</v>
      </c>
      <c r="F43" s="121" t="s">
        <v>1</v>
      </c>
      <c r="G43" s="130"/>
      <c r="H43" s="130"/>
      <c r="I43" s="130"/>
      <c r="J43" s="130"/>
      <c r="K43" s="130"/>
      <c r="L43" s="130"/>
      <c r="M43" s="130"/>
      <c r="N43" s="130"/>
    </row>
    <row r="44" spans="1:14" ht="47.25" customHeight="1">
      <c r="A44" s="136"/>
      <c r="B44" s="168" t="s">
        <v>290</v>
      </c>
      <c r="C44" s="136"/>
      <c r="D44" s="136"/>
      <c r="E44" s="136"/>
      <c r="F44" s="170"/>
      <c r="G44" s="130"/>
      <c r="H44" s="130"/>
      <c r="I44" s="130"/>
      <c r="J44" s="130"/>
      <c r="K44" s="130"/>
      <c r="L44" s="130"/>
      <c r="M44" s="130"/>
      <c r="N44" s="130"/>
    </row>
    <row r="45" spans="1:14" ht="12.75">
      <c r="A45" s="136"/>
      <c r="B45" s="10" t="s">
        <v>263</v>
      </c>
      <c r="C45" s="89"/>
      <c r="D45" s="94">
        <f>C45*1.769</f>
        <v>0</v>
      </c>
      <c r="E45" s="13">
        <v>0.954</v>
      </c>
      <c r="F45" s="123">
        <f aca="true" t="shared" si="2" ref="F45:F50">C45*E45</f>
        <v>0</v>
      </c>
      <c r="G45" s="130"/>
      <c r="H45" s="130"/>
      <c r="I45" s="130"/>
      <c r="J45" s="130"/>
      <c r="K45" s="130"/>
      <c r="L45" s="130"/>
      <c r="M45" s="130"/>
      <c r="N45" s="130"/>
    </row>
    <row r="46" spans="1:14" ht="12.75">
      <c r="A46" s="136"/>
      <c r="B46" s="10" t="s">
        <v>264</v>
      </c>
      <c r="C46" s="89"/>
      <c r="D46" s="94">
        <f>C46*1.333</f>
        <v>0</v>
      </c>
      <c r="E46" s="13">
        <v>1.025</v>
      </c>
      <c r="F46" s="123">
        <f t="shared" si="2"/>
        <v>0</v>
      </c>
      <c r="G46" s="130"/>
      <c r="H46" s="130"/>
      <c r="I46" s="130"/>
      <c r="J46" s="130"/>
      <c r="K46" s="130"/>
      <c r="L46" s="130"/>
      <c r="M46" s="130"/>
      <c r="N46" s="130"/>
    </row>
    <row r="47" spans="1:14" ht="12.75">
      <c r="A47" s="136"/>
      <c r="B47" s="10" t="s">
        <v>265</v>
      </c>
      <c r="C47" s="89"/>
      <c r="D47" s="94">
        <f>C47*1.176</f>
        <v>0</v>
      </c>
      <c r="E47" s="13">
        <v>0.951</v>
      </c>
      <c r="F47" s="123">
        <f t="shared" si="2"/>
        <v>0</v>
      </c>
      <c r="G47" s="130"/>
      <c r="H47" s="130"/>
      <c r="I47" s="130"/>
      <c r="J47" s="130"/>
      <c r="K47" s="130"/>
      <c r="L47" s="130"/>
      <c r="M47" s="130"/>
      <c r="N47" s="130"/>
    </row>
    <row r="48" spans="1:14" ht="12.75">
      <c r="A48" s="136"/>
      <c r="B48" s="20" t="s">
        <v>267</v>
      </c>
      <c r="C48" s="89"/>
      <c r="D48" s="94">
        <f>C48*1.142</f>
        <v>0</v>
      </c>
      <c r="E48" s="29">
        <v>0.951</v>
      </c>
      <c r="F48" s="123">
        <f t="shared" si="2"/>
        <v>0</v>
      </c>
      <c r="G48" s="130"/>
      <c r="H48" s="130"/>
      <c r="I48" s="130"/>
      <c r="J48" s="130"/>
      <c r="K48" s="130"/>
      <c r="L48" s="130"/>
      <c r="M48" s="130"/>
      <c r="N48" s="130"/>
    </row>
    <row r="49" spans="1:14" ht="12.75">
      <c r="A49" s="130"/>
      <c r="B49" s="23" t="s">
        <v>266</v>
      </c>
      <c r="C49" s="89"/>
      <c r="D49" s="94">
        <f>C49*1.025</f>
        <v>0</v>
      </c>
      <c r="E49" s="94">
        <v>0.968</v>
      </c>
      <c r="F49" s="123">
        <f t="shared" si="2"/>
        <v>0</v>
      </c>
      <c r="G49" s="130"/>
      <c r="H49" s="130"/>
      <c r="I49" s="130"/>
      <c r="J49" s="130"/>
      <c r="K49" s="130"/>
      <c r="L49" s="130"/>
      <c r="M49" s="130"/>
      <c r="N49" s="130"/>
    </row>
    <row r="50" spans="1:14" ht="13.5" thickBot="1">
      <c r="A50" s="130"/>
      <c r="B50" s="23" t="s">
        <v>268</v>
      </c>
      <c r="C50" s="89"/>
      <c r="D50" s="94">
        <f>C50*1.25</f>
        <v>0</v>
      </c>
      <c r="E50" s="94">
        <v>0.931</v>
      </c>
      <c r="F50" s="123">
        <f t="shared" si="2"/>
        <v>0</v>
      </c>
      <c r="G50" s="130"/>
      <c r="H50" s="130"/>
      <c r="I50" s="130"/>
      <c r="J50" s="130"/>
      <c r="K50" s="130"/>
      <c r="L50" s="130"/>
      <c r="M50" s="130"/>
      <c r="N50" s="130"/>
    </row>
    <row r="51" spans="1:14" ht="13.5" thickBot="1">
      <c r="A51" s="130"/>
      <c r="B51" s="130"/>
      <c r="C51" s="130"/>
      <c r="D51" s="130"/>
      <c r="E51" s="171" t="s">
        <v>54</v>
      </c>
      <c r="F51" s="125">
        <f>SUM(F45:F50)</f>
        <v>0</v>
      </c>
      <c r="G51" s="130"/>
      <c r="H51" s="130"/>
      <c r="I51" s="130"/>
      <c r="J51" s="130"/>
      <c r="K51" s="130"/>
      <c r="L51" s="130"/>
      <c r="M51" s="130"/>
      <c r="N51" s="130"/>
    </row>
    <row r="52" spans="1:14" ht="12.75">
      <c r="A52" s="130"/>
      <c r="B52" s="130"/>
      <c r="C52" s="130"/>
      <c r="D52" s="130"/>
      <c r="E52" s="130"/>
      <c r="F52" s="122"/>
      <c r="G52" s="130"/>
      <c r="H52" s="130"/>
      <c r="I52" s="130"/>
      <c r="J52" s="130"/>
      <c r="K52" s="130"/>
      <c r="L52" s="130"/>
      <c r="M52" s="130"/>
      <c r="N52" s="130"/>
    </row>
    <row r="53" spans="1:14" ht="31.5" customHeight="1" thickBot="1">
      <c r="A53" s="130"/>
      <c r="B53" s="1"/>
      <c r="C53" s="87" t="s">
        <v>32</v>
      </c>
      <c r="D53" s="117" t="s">
        <v>185</v>
      </c>
      <c r="E53" s="8" t="s">
        <v>181</v>
      </c>
      <c r="F53" s="120" t="s">
        <v>30</v>
      </c>
      <c r="G53" s="130"/>
      <c r="H53" s="130"/>
      <c r="I53" s="130"/>
      <c r="J53" s="130"/>
      <c r="K53" s="130"/>
      <c r="L53" s="130"/>
      <c r="M53" s="130"/>
      <c r="N53" s="130"/>
    </row>
    <row r="54" spans="1:14" ht="31.5" customHeight="1" thickBot="1">
      <c r="A54" s="130"/>
      <c r="B54" s="96" t="s">
        <v>293</v>
      </c>
      <c r="C54" s="88" t="s">
        <v>0</v>
      </c>
      <c r="D54" s="118" t="s">
        <v>175</v>
      </c>
      <c r="E54" s="37" t="s">
        <v>269</v>
      </c>
      <c r="F54" s="121" t="s">
        <v>1</v>
      </c>
      <c r="G54" s="130"/>
      <c r="H54" s="130"/>
      <c r="I54" s="130"/>
      <c r="J54" s="130"/>
      <c r="K54" s="130"/>
      <c r="L54" s="130"/>
      <c r="M54" s="130"/>
      <c r="N54" s="130"/>
    </row>
    <row r="55" spans="1:14" ht="47.25" customHeight="1">
      <c r="A55" s="130"/>
      <c r="B55" s="168" t="s">
        <v>291</v>
      </c>
      <c r="C55" s="136"/>
      <c r="D55" s="136"/>
      <c r="E55" s="136"/>
      <c r="F55" s="170"/>
      <c r="G55" s="130"/>
      <c r="H55" s="130"/>
      <c r="I55" s="130"/>
      <c r="J55" s="130"/>
      <c r="K55" s="130"/>
      <c r="L55" s="130"/>
      <c r="M55" s="130"/>
      <c r="N55" s="130"/>
    </row>
    <row r="56" spans="1:14" ht="13.5" thickBot="1">
      <c r="A56" s="130"/>
      <c r="B56" s="10" t="s">
        <v>270</v>
      </c>
      <c r="C56" s="89"/>
      <c r="D56" s="94">
        <f>C56*1.388</f>
        <v>0</v>
      </c>
      <c r="E56" s="13">
        <v>0.87</v>
      </c>
      <c r="F56" s="123">
        <f>C56*E56</f>
        <v>0</v>
      </c>
      <c r="G56" s="130"/>
      <c r="H56" s="130"/>
      <c r="I56" s="130"/>
      <c r="J56" s="130"/>
      <c r="K56" s="130"/>
      <c r="L56" s="130"/>
      <c r="M56" s="130"/>
      <c r="N56" s="130"/>
    </row>
    <row r="57" spans="1:14" ht="13.5" thickBot="1">
      <c r="A57" s="130"/>
      <c r="B57" s="130"/>
      <c r="C57" s="130"/>
      <c r="D57" s="130"/>
      <c r="E57" s="171" t="s">
        <v>54</v>
      </c>
      <c r="F57" s="125">
        <f>SUM(F56:F56)</f>
        <v>0</v>
      </c>
      <c r="G57" s="130"/>
      <c r="H57" s="130"/>
      <c r="I57" s="130"/>
      <c r="J57" s="130"/>
      <c r="K57" s="130"/>
      <c r="L57" s="130"/>
      <c r="M57" s="130"/>
      <c r="N57" s="130"/>
    </row>
    <row r="58" spans="1:14" ht="12.75">
      <c r="A58" s="130"/>
      <c r="B58" s="130"/>
      <c r="C58" s="130"/>
      <c r="D58" s="130"/>
      <c r="E58" s="130"/>
      <c r="F58" s="122"/>
      <c r="G58" s="130"/>
      <c r="H58" s="130"/>
      <c r="I58" s="130"/>
      <c r="J58" s="130"/>
      <c r="K58" s="130"/>
      <c r="L58" s="130"/>
      <c r="M58" s="130"/>
      <c r="N58" s="130"/>
    </row>
    <row r="59" spans="1:14" ht="31.5" customHeight="1" thickBot="1">
      <c r="A59" s="130"/>
      <c r="B59" s="1"/>
      <c r="C59" s="219" t="s">
        <v>32</v>
      </c>
      <c r="D59" s="220"/>
      <c r="E59" s="8" t="s">
        <v>180</v>
      </c>
      <c r="F59" s="120" t="s">
        <v>30</v>
      </c>
      <c r="G59" s="130"/>
      <c r="H59" s="130"/>
      <c r="I59" s="130"/>
      <c r="J59" s="130"/>
      <c r="K59" s="130"/>
      <c r="L59" s="130"/>
      <c r="M59" s="130"/>
      <c r="N59" s="130"/>
    </row>
    <row r="60" spans="1:14" ht="31.5" customHeight="1" thickBot="1">
      <c r="A60" s="130"/>
      <c r="B60" s="96" t="s">
        <v>274</v>
      </c>
      <c r="C60" s="221" t="s">
        <v>0</v>
      </c>
      <c r="D60" s="222"/>
      <c r="E60" s="37" t="s">
        <v>269</v>
      </c>
      <c r="F60" s="121" t="s">
        <v>1</v>
      </c>
      <c r="G60" s="130"/>
      <c r="H60" s="130"/>
      <c r="I60" s="130"/>
      <c r="J60" s="130"/>
      <c r="K60" s="130"/>
      <c r="L60" s="130"/>
      <c r="M60" s="130"/>
      <c r="N60" s="130"/>
    </row>
    <row r="61" spans="1:14" ht="47.25" customHeight="1">
      <c r="A61" s="130"/>
      <c r="B61" s="168" t="s">
        <v>292</v>
      </c>
      <c r="C61" s="136"/>
      <c r="D61" s="136"/>
      <c r="E61" s="136"/>
      <c r="F61" s="170"/>
      <c r="G61" s="130"/>
      <c r="H61" s="130"/>
      <c r="I61" s="130"/>
      <c r="J61" s="130"/>
      <c r="K61" s="130"/>
      <c r="L61" s="130"/>
      <c r="M61" s="130"/>
      <c r="N61" s="130"/>
    </row>
    <row r="62" spans="1:14" ht="12.75">
      <c r="A62" s="130"/>
      <c r="B62" s="10" t="s">
        <v>276</v>
      </c>
      <c r="C62" s="213"/>
      <c r="D62" s="214"/>
      <c r="E62" s="13">
        <v>0.728</v>
      </c>
      <c r="F62" s="123">
        <f aca="true" t="shared" si="3" ref="F62:F73">C62*E62</f>
        <v>0</v>
      </c>
      <c r="G62" s="130"/>
      <c r="H62" s="130"/>
      <c r="I62" s="130"/>
      <c r="J62" s="130"/>
      <c r="K62" s="130"/>
      <c r="L62" s="130"/>
      <c r="M62" s="130"/>
      <c r="N62" s="130"/>
    </row>
    <row r="63" spans="1:14" ht="12.75">
      <c r="A63" s="130"/>
      <c r="B63" s="10" t="s">
        <v>277</v>
      </c>
      <c r="C63" s="213"/>
      <c r="D63" s="214"/>
      <c r="E63" s="13">
        <v>0.728</v>
      </c>
      <c r="F63" s="123">
        <f t="shared" si="3"/>
        <v>0</v>
      </c>
      <c r="G63" s="130"/>
      <c r="H63" s="130"/>
      <c r="I63" s="130"/>
      <c r="J63" s="130"/>
      <c r="K63" s="130"/>
      <c r="L63" s="130"/>
      <c r="M63" s="130"/>
      <c r="N63" s="130"/>
    </row>
    <row r="64" spans="1:14" ht="12.75">
      <c r="A64" s="130"/>
      <c r="B64" s="10" t="s">
        <v>279</v>
      </c>
      <c r="C64" s="213"/>
      <c r="D64" s="214"/>
      <c r="E64" s="13">
        <v>0.735</v>
      </c>
      <c r="F64" s="123">
        <f t="shared" si="3"/>
        <v>0</v>
      </c>
      <c r="G64" s="130"/>
      <c r="H64" s="130"/>
      <c r="I64" s="130"/>
      <c r="J64" s="130"/>
      <c r="K64" s="130"/>
      <c r="L64" s="130"/>
      <c r="M64" s="130"/>
      <c r="N64" s="130"/>
    </row>
    <row r="65" spans="1:14" ht="12.75">
      <c r="A65" s="130"/>
      <c r="B65" s="20" t="s">
        <v>278</v>
      </c>
      <c r="C65" s="213"/>
      <c r="D65" s="214"/>
      <c r="E65" s="29">
        <v>0.895</v>
      </c>
      <c r="F65" s="123">
        <f t="shared" si="3"/>
        <v>0</v>
      </c>
      <c r="G65" s="130"/>
      <c r="H65" s="130"/>
      <c r="I65" s="130"/>
      <c r="J65" s="130"/>
      <c r="K65" s="130"/>
      <c r="L65" s="130"/>
      <c r="M65" s="130"/>
      <c r="N65" s="130"/>
    </row>
    <row r="66" spans="1:14" ht="12.75">
      <c r="A66" s="130"/>
      <c r="B66" s="10" t="s">
        <v>280</v>
      </c>
      <c r="C66" s="213"/>
      <c r="D66" s="214"/>
      <c r="E66" s="94">
        <v>0.501</v>
      </c>
      <c r="F66" s="123">
        <f t="shared" si="3"/>
        <v>0</v>
      </c>
      <c r="G66" s="130"/>
      <c r="H66" s="130"/>
      <c r="I66" s="130"/>
      <c r="J66" s="130"/>
      <c r="K66" s="130"/>
      <c r="L66" s="130"/>
      <c r="M66" s="130"/>
      <c r="N66" s="130"/>
    </row>
    <row r="67" spans="1:14" ht="12.75">
      <c r="A67" s="130"/>
      <c r="B67" s="23" t="s">
        <v>281</v>
      </c>
      <c r="C67" s="213"/>
      <c r="D67" s="214"/>
      <c r="E67" s="94">
        <v>0.491</v>
      </c>
      <c r="F67" s="123">
        <f t="shared" si="3"/>
        <v>0</v>
      </c>
      <c r="G67" s="130"/>
      <c r="H67" s="130"/>
      <c r="I67" s="130"/>
      <c r="J67" s="130"/>
      <c r="K67" s="130"/>
      <c r="L67" s="130"/>
      <c r="M67" s="130"/>
      <c r="N67" s="130"/>
    </row>
    <row r="68" spans="1:14" ht="12.75">
      <c r="A68" s="130"/>
      <c r="B68" s="23" t="s">
        <v>282</v>
      </c>
      <c r="C68" s="213"/>
      <c r="D68" s="214"/>
      <c r="E68" s="94">
        <v>0.882</v>
      </c>
      <c r="F68" s="123">
        <f t="shared" si="3"/>
        <v>0</v>
      </c>
      <c r="G68" s="130"/>
      <c r="H68" s="130"/>
      <c r="I68" s="130"/>
      <c r="J68" s="130"/>
      <c r="K68" s="130"/>
      <c r="L68" s="130"/>
      <c r="M68" s="130"/>
      <c r="N68" s="130"/>
    </row>
    <row r="69" spans="1:14" ht="12.75">
      <c r="A69" s="130"/>
      <c r="B69" s="23" t="s">
        <v>283</v>
      </c>
      <c r="C69" s="213"/>
      <c r="D69" s="214"/>
      <c r="E69" s="94">
        <v>0.541</v>
      </c>
      <c r="F69" s="123">
        <f t="shared" si="3"/>
        <v>0</v>
      </c>
      <c r="G69" s="130"/>
      <c r="H69" s="130"/>
      <c r="I69" s="130"/>
      <c r="J69" s="130"/>
      <c r="K69" s="130"/>
      <c r="L69" s="130"/>
      <c r="M69" s="130"/>
      <c r="N69" s="130"/>
    </row>
    <row r="70" spans="1:14" ht="12.75">
      <c r="A70" s="130"/>
      <c r="B70" s="23" t="s">
        <v>284</v>
      </c>
      <c r="C70" s="213"/>
      <c r="D70" s="214"/>
      <c r="E70" s="94">
        <v>0.905</v>
      </c>
      <c r="F70" s="123">
        <f t="shared" si="3"/>
        <v>0</v>
      </c>
      <c r="G70" s="130"/>
      <c r="H70" s="130"/>
      <c r="I70" s="130"/>
      <c r="J70" s="130"/>
      <c r="K70" s="130"/>
      <c r="L70" s="130"/>
      <c r="M70" s="130"/>
      <c r="N70" s="130"/>
    </row>
    <row r="71" spans="1:14" ht="12.75">
      <c r="A71" s="130"/>
      <c r="B71" s="23" t="s">
        <v>285</v>
      </c>
      <c r="C71" s="213"/>
      <c r="D71" s="214"/>
      <c r="E71" s="94">
        <v>0.376</v>
      </c>
      <c r="F71" s="123">
        <f t="shared" si="3"/>
        <v>0</v>
      </c>
      <c r="G71" s="130"/>
      <c r="H71" s="130"/>
      <c r="I71" s="130"/>
      <c r="J71" s="130"/>
      <c r="K71" s="130"/>
      <c r="L71" s="130"/>
      <c r="M71" s="130"/>
      <c r="N71" s="130"/>
    </row>
    <row r="72" spans="1:14" ht="12.75">
      <c r="A72" s="130"/>
      <c r="B72" s="23" t="s">
        <v>286</v>
      </c>
      <c r="C72" s="213"/>
      <c r="D72" s="214"/>
      <c r="E72" s="94">
        <v>0.293</v>
      </c>
      <c r="F72" s="123">
        <f t="shared" si="3"/>
        <v>0</v>
      </c>
      <c r="G72" s="130"/>
      <c r="H72" s="130"/>
      <c r="I72" s="130"/>
      <c r="J72" s="130"/>
      <c r="K72" s="130"/>
      <c r="L72" s="130"/>
      <c r="M72" s="130"/>
      <c r="N72" s="130"/>
    </row>
    <row r="73" spans="1:14" ht="13.5" thickBot="1">
      <c r="A73" s="130"/>
      <c r="B73" s="23" t="s">
        <v>287</v>
      </c>
      <c r="C73" s="213"/>
      <c r="D73" s="214"/>
      <c r="E73" s="94">
        <v>0.968</v>
      </c>
      <c r="F73" s="123">
        <f t="shared" si="3"/>
        <v>0</v>
      </c>
      <c r="G73" s="130"/>
      <c r="H73" s="130"/>
      <c r="I73" s="130"/>
      <c r="J73" s="130"/>
      <c r="K73" s="130"/>
      <c r="L73" s="130"/>
      <c r="M73" s="130"/>
      <c r="N73" s="130"/>
    </row>
    <row r="74" spans="1:14" ht="13.5" thickBot="1">
      <c r="A74" s="130"/>
      <c r="B74" s="130"/>
      <c r="C74" s="130"/>
      <c r="D74" s="130"/>
      <c r="E74" s="171" t="s">
        <v>54</v>
      </c>
      <c r="F74" s="125">
        <f>SUM(F62:F73)</f>
        <v>0</v>
      </c>
      <c r="G74" s="130"/>
      <c r="H74" s="130"/>
      <c r="I74" s="130"/>
      <c r="J74" s="130"/>
      <c r="K74" s="130"/>
      <c r="L74" s="130"/>
      <c r="M74" s="130"/>
      <c r="N74" s="130"/>
    </row>
    <row r="75" spans="1:14" ht="12.75">
      <c r="A75" s="130"/>
      <c r="B75" s="130"/>
      <c r="C75" s="130"/>
      <c r="D75" s="130"/>
      <c r="E75" s="130"/>
      <c r="F75" s="130"/>
      <c r="G75" s="130"/>
      <c r="H75" s="130"/>
      <c r="I75" s="130"/>
      <c r="J75" s="130"/>
      <c r="K75" s="130"/>
      <c r="L75" s="130"/>
      <c r="M75" s="130"/>
      <c r="N75" s="130"/>
    </row>
    <row r="76" spans="1:14" ht="12.75">
      <c r="A76" s="130"/>
      <c r="B76" s="130"/>
      <c r="C76" s="130"/>
      <c r="D76" s="130"/>
      <c r="E76" s="130"/>
      <c r="F76" s="130"/>
      <c r="G76" s="130"/>
      <c r="H76" s="130"/>
      <c r="I76" s="130"/>
      <c r="J76" s="130"/>
      <c r="K76" s="130"/>
      <c r="L76" s="130"/>
      <c r="M76" s="130"/>
      <c r="N76" s="130"/>
    </row>
    <row r="77" spans="1:14" ht="12.75">
      <c r="A77" s="130"/>
      <c r="B77" s="130"/>
      <c r="C77" s="130"/>
      <c r="D77" s="130"/>
      <c r="E77" s="130"/>
      <c r="F77" s="130"/>
      <c r="G77" s="130"/>
      <c r="H77" s="130"/>
      <c r="I77" s="130"/>
      <c r="J77" s="130"/>
      <c r="K77" s="130"/>
      <c r="L77" s="130"/>
      <c r="M77" s="130"/>
      <c r="N77" s="130"/>
    </row>
    <row r="78" spans="1:14" ht="12.75">
      <c r="A78" s="130"/>
      <c r="B78" s="130"/>
      <c r="C78" s="130"/>
      <c r="D78" s="130"/>
      <c r="E78" s="130"/>
      <c r="F78" s="130"/>
      <c r="G78" s="130"/>
      <c r="H78" s="130"/>
      <c r="I78" s="130"/>
      <c r="J78" s="130"/>
      <c r="K78" s="130"/>
      <c r="L78" s="130"/>
      <c r="M78" s="130"/>
      <c r="N78" s="130"/>
    </row>
    <row r="79" spans="1:14" ht="12.75">
      <c r="A79" s="130"/>
      <c r="B79" s="130"/>
      <c r="C79" s="130"/>
      <c r="D79" s="130"/>
      <c r="E79" s="130"/>
      <c r="F79" s="130"/>
      <c r="G79" s="130"/>
      <c r="H79" s="130"/>
      <c r="I79" s="130"/>
      <c r="J79" s="130"/>
      <c r="K79" s="130"/>
      <c r="L79" s="130"/>
      <c r="M79" s="130"/>
      <c r="N79" s="130"/>
    </row>
    <row r="80" spans="1:14" ht="12.75">
      <c r="A80" s="130"/>
      <c r="B80" s="130"/>
      <c r="C80" s="130"/>
      <c r="D80" s="130"/>
      <c r="E80" s="130"/>
      <c r="F80" s="130"/>
      <c r="G80" s="130"/>
      <c r="H80" s="130"/>
      <c r="I80" s="130"/>
      <c r="J80" s="130"/>
      <c r="K80" s="130"/>
      <c r="L80" s="130"/>
      <c r="M80" s="130"/>
      <c r="N80" s="130"/>
    </row>
    <row r="81" spans="1:14" ht="12.75">
      <c r="A81" s="130"/>
      <c r="B81" s="130"/>
      <c r="C81" s="130"/>
      <c r="D81" s="130"/>
      <c r="E81" s="130"/>
      <c r="F81" s="130"/>
      <c r="G81" s="130"/>
      <c r="H81" s="130"/>
      <c r="I81" s="130"/>
      <c r="J81" s="130"/>
      <c r="K81" s="130"/>
      <c r="L81" s="130"/>
      <c r="M81" s="130"/>
      <c r="N81" s="130"/>
    </row>
    <row r="82" spans="1:14" ht="12.75">
      <c r="A82" s="130"/>
      <c r="B82" s="130"/>
      <c r="C82" s="130"/>
      <c r="D82" s="130"/>
      <c r="E82" s="130"/>
      <c r="F82" s="130"/>
      <c r="G82" s="130"/>
      <c r="H82" s="130"/>
      <c r="I82" s="130"/>
      <c r="J82" s="130"/>
      <c r="K82" s="130"/>
      <c r="L82" s="130"/>
      <c r="M82" s="130"/>
      <c r="N82" s="130"/>
    </row>
    <row r="83" spans="1:14" ht="12.75">
      <c r="A83" s="130"/>
      <c r="B83" s="130"/>
      <c r="C83" s="130"/>
      <c r="D83" s="130"/>
      <c r="E83" s="130"/>
      <c r="F83" s="130"/>
      <c r="G83" s="130"/>
      <c r="H83" s="130"/>
      <c r="I83" s="130"/>
      <c r="J83" s="130"/>
      <c r="K83" s="130"/>
      <c r="L83" s="130"/>
      <c r="M83" s="130"/>
      <c r="N83" s="130"/>
    </row>
    <row r="84" spans="1:14" ht="12.75">
      <c r="A84" s="130"/>
      <c r="B84" s="130"/>
      <c r="C84" s="130"/>
      <c r="D84" s="130"/>
      <c r="E84" s="130"/>
      <c r="F84" s="130"/>
      <c r="G84" s="130"/>
      <c r="H84" s="130"/>
      <c r="I84" s="130"/>
      <c r="J84" s="130"/>
      <c r="K84" s="130"/>
      <c r="L84" s="130"/>
      <c r="M84" s="130"/>
      <c r="N84" s="130"/>
    </row>
    <row r="85" spans="1:14" ht="12.75">
      <c r="A85" s="130"/>
      <c r="B85" s="130"/>
      <c r="C85" s="130"/>
      <c r="D85" s="130"/>
      <c r="E85" s="130"/>
      <c r="F85" s="130"/>
      <c r="G85" s="130"/>
      <c r="H85" s="130"/>
      <c r="I85" s="130"/>
      <c r="J85" s="130"/>
      <c r="K85" s="130"/>
      <c r="L85" s="130"/>
      <c r="M85" s="130"/>
      <c r="N85" s="130"/>
    </row>
    <row r="86" spans="1:14" ht="12.75">
      <c r="A86" s="130"/>
      <c r="B86" s="130"/>
      <c r="C86" s="130"/>
      <c r="D86" s="130"/>
      <c r="E86" s="130"/>
      <c r="F86" s="130"/>
      <c r="G86" s="130"/>
      <c r="H86" s="130"/>
      <c r="I86" s="130"/>
      <c r="J86" s="130"/>
      <c r="K86" s="130"/>
      <c r="L86" s="130"/>
      <c r="M86" s="130"/>
      <c r="N86" s="130"/>
    </row>
    <row r="87" spans="1:14" ht="12.75">
      <c r="A87" s="130"/>
      <c r="B87" s="130"/>
      <c r="C87" s="130"/>
      <c r="D87" s="130"/>
      <c r="E87" s="130"/>
      <c r="F87" s="130"/>
      <c r="G87" s="130"/>
      <c r="H87" s="130"/>
      <c r="I87" s="130"/>
      <c r="J87" s="130"/>
      <c r="K87" s="130"/>
      <c r="L87" s="130"/>
      <c r="M87" s="130"/>
      <c r="N87" s="130"/>
    </row>
    <row r="88" spans="1:14" ht="12.75">
      <c r="A88" s="130"/>
      <c r="B88" s="130"/>
      <c r="C88" s="130"/>
      <c r="D88" s="130"/>
      <c r="E88" s="130"/>
      <c r="F88" s="130"/>
      <c r="G88" s="130"/>
      <c r="H88" s="130"/>
      <c r="I88" s="130"/>
      <c r="J88" s="130"/>
      <c r="K88" s="130"/>
      <c r="L88" s="130"/>
      <c r="M88" s="130"/>
      <c r="N88" s="130"/>
    </row>
    <row r="89" spans="6:14" ht="12.75">
      <c r="F89" s="130"/>
      <c r="G89" s="130"/>
      <c r="H89" s="130"/>
      <c r="I89" s="130"/>
      <c r="J89" s="130"/>
      <c r="K89" s="130"/>
      <c r="L89" s="130"/>
      <c r="M89" s="130"/>
      <c r="N89" s="130"/>
    </row>
  </sheetData>
  <sheetProtection/>
  <mergeCells count="28">
    <mergeCell ref="C19:D19"/>
    <mergeCell ref="C20:D20"/>
    <mergeCell ref="C22:D22"/>
    <mergeCell ref="C23:D23"/>
    <mergeCell ref="C30:D30"/>
    <mergeCell ref="C31:D31"/>
    <mergeCell ref="C24:D24"/>
    <mergeCell ref="C25:D25"/>
    <mergeCell ref="C26:D26"/>
    <mergeCell ref="C27:D27"/>
    <mergeCell ref="C28:D28"/>
    <mergeCell ref="C29:D29"/>
    <mergeCell ref="C62:D62"/>
    <mergeCell ref="C63:D63"/>
    <mergeCell ref="C64:D64"/>
    <mergeCell ref="C65:D65"/>
    <mergeCell ref="C32:D32"/>
    <mergeCell ref="C33:D33"/>
    <mergeCell ref="C59:D59"/>
    <mergeCell ref="C60:D60"/>
    <mergeCell ref="C70:D70"/>
    <mergeCell ref="C71:D71"/>
    <mergeCell ref="C72:D72"/>
    <mergeCell ref="C73:D73"/>
    <mergeCell ref="C66:D66"/>
    <mergeCell ref="C67:D67"/>
    <mergeCell ref="C68:D68"/>
    <mergeCell ref="C69:D69"/>
  </mergeCells>
  <printOptions/>
  <pageMargins left="0.787401575" right="0.787401575" top="0.984251969" bottom="0.984251969" header="0.4921259845" footer="0.4921259845"/>
  <pageSetup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N188"/>
  <sheetViews>
    <sheetView zoomScalePageLayoutView="0" workbookViewId="0" topLeftCell="A43">
      <selection activeCell="D57" sqref="D57"/>
    </sheetView>
  </sheetViews>
  <sheetFormatPr defaultColWidth="11.421875" defaultRowHeight="12.75"/>
  <cols>
    <col min="1" max="1" width="3.00390625" style="1" customWidth="1"/>
    <col min="2" max="2" width="80.140625" style="1" customWidth="1"/>
    <col min="3" max="3" width="13.00390625" style="1" customWidth="1"/>
    <col min="4" max="4" width="15.140625" style="1" customWidth="1"/>
    <col min="5" max="5" width="14.00390625" style="1" customWidth="1"/>
    <col min="6" max="6" width="13.00390625" style="1" customWidth="1"/>
    <col min="7" max="16384" width="11.421875" style="1" customWidth="1"/>
  </cols>
  <sheetData>
    <row r="1" spans="1:14" ht="18.75" customHeight="1" thickBot="1">
      <c r="A1" s="100" t="s">
        <v>38</v>
      </c>
      <c r="B1" s="101"/>
      <c r="C1" s="136"/>
      <c r="D1" s="136"/>
      <c r="E1" s="136"/>
      <c r="F1" s="136"/>
      <c r="G1" s="136"/>
      <c r="H1" s="136"/>
      <c r="I1" s="136"/>
      <c r="J1" s="136"/>
      <c r="K1" s="136"/>
      <c r="L1" s="136"/>
      <c r="M1" s="136"/>
      <c r="N1" s="136"/>
    </row>
    <row r="2" spans="1:14" ht="47.25" customHeight="1" thickBot="1">
      <c r="A2" s="136"/>
      <c r="C2" s="242" t="s">
        <v>63</v>
      </c>
      <c r="D2" s="58" t="s">
        <v>294</v>
      </c>
      <c r="E2" s="8" t="s">
        <v>180</v>
      </c>
      <c r="F2" s="49" t="s">
        <v>30</v>
      </c>
      <c r="G2" s="136"/>
      <c r="H2" s="136"/>
      <c r="I2" s="136"/>
      <c r="J2" s="136"/>
      <c r="K2" s="136"/>
      <c r="L2" s="136"/>
      <c r="M2" s="136"/>
      <c r="N2" s="136"/>
    </row>
    <row r="3" spans="1:14" ht="18.75" customHeight="1" thickBot="1">
      <c r="A3" s="136"/>
      <c r="B3" s="31" t="s">
        <v>51</v>
      </c>
      <c r="C3" s="244"/>
      <c r="D3" s="59" t="s">
        <v>42</v>
      </c>
      <c r="F3" s="50" t="s">
        <v>1</v>
      </c>
      <c r="G3" s="136"/>
      <c r="H3" s="136"/>
      <c r="I3" s="136"/>
      <c r="J3" s="136"/>
      <c r="K3" s="136"/>
      <c r="L3" s="136"/>
      <c r="M3" s="136"/>
      <c r="N3" s="136"/>
    </row>
    <row r="4" spans="1:14" ht="31.5" customHeight="1" thickBot="1">
      <c r="A4" s="136"/>
      <c r="B4" s="136"/>
      <c r="C4" s="172"/>
      <c r="D4" s="136"/>
      <c r="E4" s="136"/>
      <c r="F4" s="136"/>
      <c r="G4" s="136"/>
      <c r="H4" s="136"/>
      <c r="I4" s="136"/>
      <c r="J4" s="136"/>
      <c r="K4" s="136"/>
      <c r="L4" s="136"/>
      <c r="M4" s="136"/>
      <c r="N4" s="136"/>
    </row>
    <row r="5" spans="1:14" ht="13.5" thickBot="1">
      <c r="A5" s="136"/>
      <c r="B5" s="6" t="s">
        <v>355</v>
      </c>
      <c r="C5" s="10">
        <v>1</v>
      </c>
      <c r="D5" s="14"/>
      <c r="E5" s="13">
        <v>0.002</v>
      </c>
      <c r="F5" s="63">
        <f>(D5*E5)*C5</f>
        <v>0</v>
      </c>
      <c r="G5" s="136"/>
      <c r="H5" s="136"/>
      <c r="I5" s="136"/>
      <c r="J5" s="136"/>
      <c r="K5" s="136"/>
      <c r="L5" s="136"/>
      <c r="M5" s="136"/>
      <c r="N5" s="136"/>
    </row>
    <row r="6" spans="1:14" ht="13.5" thickBot="1">
      <c r="A6" s="136"/>
      <c r="B6" s="6" t="s">
        <v>356</v>
      </c>
      <c r="C6" s="20">
        <v>2</v>
      </c>
      <c r="D6" s="14"/>
      <c r="E6" s="13">
        <f>E5*C6</f>
        <v>0.004</v>
      </c>
      <c r="F6" s="63">
        <f>(D6*E5)*C6</f>
        <v>0</v>
      </c>
      <c r="G6" s="136"/>
      <c r="H6" s="136"/>
      <c r="I6" s="136"/>
      <c r="J6" s="136"/>
      <c r="K6" s="136"/>
      <c r="L6" s="136"/>
      <c r="M6" s="136"/>
      <c r="N6" s="136"/>
    </row>
    <row r="7" spans="1:14" ht="13.5" thickBot="1">
      <c r="A7" s="136"/>
      <c r="B7" s="10" t="s">
        <v>357</v>
      </c>
      <c r="C7" s="22"/>
      <c r="D7" s="18"/>
      <c r="E7" s="13">
        <f>E5*C7</f>
        <v>0</v>
      </c>
      <c r="F7" s="63">
        <f>(D7*E5)*C7</f>
        <v>0</v>
      </c>
      <c r="G7" s="136"/>
      <c r="H7" s="136"/>
      <c r="I7" s="136"/>
      <c r="J7" s="136"/>
      <c r="K7" s="136"/>
      <c r="L7" s="136"/>
      <c r="M7" s="136"/>
      <c r="N7" s="136"/>
    </row>
    <row r="8" spans="1:14" ht="13.5" thickBot="1">
      <c r="A8" s="136"/>
      <c r="B8" s="6" t="s">
        <v>40</v>
      </c>
      <c r="C8" s="21"/>
      <c r="D8" s="14"/>
      <c r="E8" s="13">
        <v>0.021</v>
      </c>
      <c r="F8" s="63">
        <f>(D8*E8)</f>
        <v>0</v>
      </c>
      <c r="G8" s="136"/>
      <c r="H8" s="136"/>
      <c r="I8" s="136"/>
      <c r="J8" s="136"/>
      <c r="K8" s="136"/>
      <c r="L8" s="136"/>
      <c r="M8" s="136"/>
      <c r="N8" s="136"/>
    </row>
    <row r="9" spans="1:14" ht="13.5" thickBot="1">
      <c r="A9" s="136"/>
      <c r="B9" s="6" t="s">
        <v>41</v>
      </c>
      <c r="C9" s="10"/>
      <c r="D9" s="19"/>
      <c r="E9" s="13">
        <v>0.024</v>
      </c>
      <c r="F9" s="64">
        <f>(D9*E9)</f>
        <v>0</v>
      </c>
      <c r="G9" s="136"/>
      <c r="H9" s="136"/>
      <c r="I9" s="136"/>
      <c r="J9" s="136"/>
      <c r="K9" s="136"/>
      <c r="L9" s="136"/>
      <c r="M9" s="136"/>
      <c r="N9" s="136"/>
    </row>
    <row r="10" spans="1:14" ht="13.5" thickBot="1">
      <c r="A10" s="136"/>
      <c r="B10" s="136"/>
      <c r="C10" s="136"/>
      <c r="D10" s="136"/>
      <c r="E10" s="167" t="s">
        <v>54</v>
      </c>
      <c r="F10" s="25">
        <f>SUM(F5:F9)</f>
        <v>0</v>
      </c>
      <c r="G10" s="136"/>
      <c r="H10" s="136"/>
      <c r="I10" s="136"/>
      <c r="J10" s="136"/>
      <c r="K10" s="136"/>
      <c r="L10" s="136"/>
      <c r="M10" s="136"/>
      <c r="N10" s="136"/>
    </row>
    <row r="11" spans="1:14" ht="12.75">
      <c r="A11" s="136"/>
      <c r="B11" s="136"/>
      <c r="C11" s="136"/>
      <c r="D11" s="136"/>
      <c r="E11" s="167"/>
      <c r="F11" s="45"/>
      <c r="G11" s="136"/>
      <c r="H11" s="136"/>
      <c r="I11" s="136"/>
      <c r="J11" s="136"/>
      <c r="K11" s="136"/>
      <c r="L11" s="136"/>
      <c r="M11" s="136"/>
      <c r="N11" s="136"/>
    </row>
    <row r="12" spans="1:14" ht="26.25" thickBot="1">
      <c r="A12" s="136"/>
      <c r="C12" s="54" t="s">
        <v>409</v>
      </c>
      <c r="D12" s="58" t="s">
        <v>440</v>
      </c>
      <c r="E12" s="8" t="s">
        <v>180</v>
      </c>
      <c r="F12" s="49" t="s">
        <v>30</v>
      </c>
      <c r="G12" s="136"/>
      <c r="H12" s="136"/>
      <c r="I12" s="136"/>
      <c r="J12" s="136"/>
      <c r="K12" s="136"/>
      <c r="L12" s="136"/>
      <c r="M12" s="136"/>
      <c r="N12" s="136"/>
    </row>
    <row r="13" spans="1:14" ht="18.75" customHeight="1" thickBot="1">
      <c r="A13" s="136"/>
      <c r="B13" s="105" t="s">
        <v>408</v>
      </c>
      <c r="C13" s="102" t="s">
        <v>380</v>
      </c>
      <c r="D13" s="59" t="s">
        <v>441</v>
      </c>
      <c r="E13" s="74"/>
      <c r="F13" s="50" t="s">
        <v>1</v>
      </c>
      <c r="G13" s="136"/>
      <c r="H13" s="136"/>
      <c r="I13" s="136"/>
      <c r="J13" s="136"/>
      <c r="K13" s="136"/>
      <c r="L13" s="136"/>
      <c r="M13" s="136"/>
      <c r="N13" s="136"/>
    </row>
    <row r="14" spans="1:14" ht="13.5" thickBot="1">
      <c r="A14" s="136"/>
      <c r="B14" s="173"/>
      <c r="C14" s="162"/>
      <c r="D14" s="136"/>
      <c r="E14" s="136"/>
      <c r="F14" s="136"/>
      <c r="G14" s="136"/>
      <c r="H14" s="136"/>
      <c r="I14" s="136"/>
      <c r="J14" s="136"/>
      <c r="K14" s="136"/>
      <c r="L14" s="136"/>
      <c r="M14" s="136"/>
      <c r="N14" s="136"/>
    </row>
    <row r="15" spans="1:14" ht="13.5" thickBot="1">
      <c r="A15" s="136"/>
      <c r="B15" s="10" t="s">
        <v>411</v>
      </c>
      <c r="C15" s="22">
        <v>360</v>
      </c>
      <c r="D15" s="17"/>
      <c r="E15" s="13">
        <v>0.0288</v>
      </c>
      <c r="F15" s="63">
        <f>(C15*D15*E15)/1000</f>
        <v>0</v>
      </c>
      <c r="G15" s="136"/>
      <c r="H15" s="136"/>
      <c r="I15" s="136"/>
      <c r="J15" s="136"/>
      <c r="K15" s="136"/>
      <c r="L15" s="136"/>
      <c r="M15" s="136"/>
      <c r="N15" s="136"/>
    </row>
    <row r="16" spans="1:14" ht="13.5" thickBot="1">
      <c r="A16" s="136"/>
      <c r="B16" s="10" t="s">
        <v>412</v>
      </c>
      <c r="C16" s="22">
        <v>210</v>
      </c>
      <c r="D16" s="14"/>
      <c r="E16" s="13">
        <v>0.0288</v>
      </c>
      <c r="F16" s="63">
        <f aca="true" t="shared" si="0" ref="F16:F26">(C16*D16*E16)/1000</f>
        <v>0</v>
      </c>
      <c r="G16" s="136"/>
      <c r="H16" s="136"/>
      <c r="I16" s="136"/>
      <c r="J16" s="136"/>
      <c r="K16" s="136"/>
      <c r="L16" s="136"/>
      <c r="M16" s="136"/>
      <c r="N16" s="136"/>
    </row>
    <row r="17" spans="1:14" ht="13.5" thickBot="1">
      <c r="A17" s="136"/>
      <c r="B17" s="10" t="s">
        <v>413</v>
      </c>
      <c r="C17" s="22">
        <v>1665</v>
      </c>
      <c r="D17" s="19"/>
      <c r="E17" s="13">
        <v>0.0288</v>
      </c>
      <c r="F17" s="63">
        <f t="shared" si="0"/>
        <v>0</v>
      </c>
      <c r="G17" s="136"/>
      <c r="H17" s="136"/>
      <c r="I17" s="136"/>
      <c r="J17" s="136"/>
      <c r="K17" s="136"/>
      <c r="L17" s="136"/>
      <c r="M17" s="136"/>
      <c r="N17" s="136"/>
    </row>
    <row r="18" spans="1:14" ht="13.5" thickBot="1">
      <c r="A18" s="136"/>
      <c r="B18" s="10" t="s">
        <v>414</v>
      </c>
      <c r="C18" s="22">
        <v>60</v>
      </c>
      <c r="D18" s="19"/>
      <c r="E18" s="13">
        <v>0.0288</v>
      </c>
      <c r="F18" s="63">
        <f t="shared" si="0"/>
        <v>0</v>
      </c>
      <c r="G18" s="136"/>
      <c r="H18" s="136"/>
      <c r="I18" s="136"/>
      <c r="J18" s="136"/>
      <c r="K18" s="136"/>
      <c r="L18" s="136"/>
      <c r="M18" s="136"/>
      <c r="N18" s="136"/>
    </row>
    <row r="19" spans="1:14" ht="13.5" thickBot="1">
      <c r="A19" s="136"/>
      <c r="B19" s="10" t="s">
        <v>415</v>
      </c>
      <c r="C19" s="22"/>
      <c r="D19" s="19"/>
      <c r="E19" s="13">
        <v>0.0288</v>
      </c>
      <c r="F19" s="63">
        <f t="shared" si="0"/>
        <v>0</v>
      </c>
      <c r="G19" s="136"/>
      <c r="H19" s="136"/>
      <c r="I19" s="136"/>
      <c r="J19" s="136"/>
      <c r="K19" s="136"/>
      <c r="L19" s="136"/>
      <c r="M19" s="136"/>
      <c r="N19" s="136"/>
    </row>
    <row r="20" spans="1:14" ht="13.5" thickBot="1">
      <c r="A20" s="136"/>
      <c r="B20" s="10" t="s">
        <v>416</v>
      </c>
      <c r="C20" s="22"/>
      <c r="D20" s="14"/>
      <c r="E20" s="13">
        <v>0.0288</v>
      </c>
      <c r="F20" s="63">
        <f t="shared" si="0"/>
        <v>0</v>
      </c>
      <c r="G20" s="136"/>
      <c r="H20" s="136"/>
      <c r="I20" s="136"/>
      <c r="J20" s="136"/>
      <c r="K20" s="136"/>
      <c r="L20" s="136"/>
      <c r="M20" s="136"/>
      <c r="N20" s="136"/>
    </row>
    <row r="21" spans="1:14" ht="13.5" thickBot="1">
      <c r="A21" s="136"/>
      <c r="B21" s="10" t="s">
        <v>417</v>
      </c>
      <c r="C21" s="22"/>
      <c r="D21" s="19"/>
      <c r="E21" s="13">
        <v>0.0288</v>
      </c>
      <c r="F21" s="63">
        <f t="shared" si="0"/>
        <v>0</v>
      </c>
      <c r="G21" s="136"/>
      <c r="H21" s="136"/>
      <c r="I21" s="136"/>
      <c r="J21" s="136"/>
      <c r="K21" s="136"/>
      <c r="L21" s="136"/>
      <c r="M21" s="136"/>
      <c r="N21" s="136"/>
    </row>
    <row r="22" spans="1:14" ht="13.5" thickBot="1">
      <c r="A22" s="136"/>
      <c r="B22" s="10" t="s">
        <v>418</v>
      </c>
      <c r="C22" s="22"/>
      <c r="D22" s="19"/>
      <c r="E22" s="13">
        <v>0.0288</v>
      </c>
      <c r="F22" s="63">
        <f t="shared" si="0"/>
        <v>0</v>
      </c>
      <c r="G22" s="136"/>
      <c r="H22" s="136"/>
      <c r="I22" s="136"/>
      <c r="J22" s="136"/>
      <c r="K22" s="136"/>
      <c r="L22" s="136"/>
      <c r="M22" s="136"/>
      <c r="N22" s="136"/>
    </row>
    <row r="23" spans="1:14" ht="13.5" thickBot="1">
      <c r="A23" s="136"/>
      <c r="B23" s="10" t="s">
        <v>419</v>
      </c>
      <c r="C23" s="22"/>
      <c r="D23" s="19"/>
      <c r="E23" s="13">
        <v>0.0288</v>
      </c>
      <c r="F23" s="63">
        <f t="shared" si="0"/>
        <v>0</v>
      </c>
      <c r="G23" s="136"/>
      <c r="H23" s="136"/>
      <c r="I23" s="136"/>
      <c r="J23" s="136"/>
      <c r="K23" s="136"/>
      <c r="L23" s="136"/>
      <c r="M23" s="136"/>
      <c r="N23" s="136"/>
    </row>
    <row r="24" spans="1:14" ht="13.5" thickBot="1">
      <c r="A24" s="136"/>
      <c r="B24" s="10" t="s">
        <v>420</v>
      </c>
      <c r="C24" s="22"/>
      <c r="D24" s="19"/>
      <c r="E24" s="13">
        <v>0.0288</v>
      </c>
      <c r="F24" s="63">
        <f t="shared" si="0"/>
        <v>0</v>
      </c>
      <c r="G24" s="136"/>
      <c r="H24" s="136"/>
      <c r="I24" s="136"/>
      <c r="J24" s="136"/>
      <c r="K24" s="136"/>
      <c r="L24" s="136"/>
      <c r="M24" s="136"/>
      <c r="N24" s="136"/>
    </row>
    <row r="25" spans="1:14" ht="13.5" thickBot="1">
      <c r="A25" s="136"/>
      <c r="B25" s="10" t="s">
        <v>421</v>
      </c>
      <c r="C25" s="22"/>
      <c r="D25" s="19"/>
      <c r="E25" s="13">
        <v>0.0288</v>
      </c>
      <c r="F25" s="63">
        <f t="shared" si="0"/>
        <v>0</v>
      </c>
      <c r="G25" s="136"/>
      <c r="H25" s="136"/>
      <c r="I25" s="136"/>
      <c r="J25" s="136"/>
      <c r="K25" s="136"/>
      <c r="L25" s="136"/>
      <c r="M25" s="136"/>
      <c r="N25" s="136"/>
    </row>
    <row r="26" spans="1:14" ht="13.5" thickBot="1">
      <c r="A26" s="136"/>
      <c r="B26" s="10" t="s">
        <v>422</v>
      </c>
      <c r="C26" s="22"/>
      <c r="D26" s="19"/>
      <c r="E26" s="13">
        <v>0.0288</v>
      </c>
      <c r="F26" s="63">
        <f t="shared" si="0"/>
        <v>0</v>
      </c>
      <c r="G26" s="136"/>
      <c r="H26" s="136"/>
      <c r="I26" s="136"/>
      <c r="J26" s="136"/>
      <c r="K26" s="136"/>
      <c r="L26" s="136"/>
      <c r="M26" s="136"/>
      <c r="N26" s="136"/>
    </row>
    <row r="27" spans="1:14" ht="13.5" thickBot="1">
      <c r="A27" s="136"/>
      <c r="B27" s="136"/>
      <c r="C27" s="136"/>
      <c r="D27" s="136"/>
      <c r="E27" s="167" t="s">
        <v>54</v>
      </c>
      <c r="F27" s="25">
        <f>SUM(F15:F26)</f>
        <v>0</v>
      </c>
      <c r="G27" s="136"/>
      <c r="H27" s="136"/>
      <c r="I27" s="136"/>
      <c r="J27" s="136"/>
      <c r="K27" s="136"/>
      <c r="L27" s="136"/>
      <c r="M27" s="136"/>
      <c r="N27" s="136"/>
    </row>
    <row r="28" spans="1:14" ht="12.75">
      <c r="A28" s="136"/>
      <c r="B28" s="136"/>
      <c r="C28" s="136"/>
      <c r="D28" s="136"/>
      <c r="E28" s="167"/>
      <c r="F28" s="45"/>
      <c r="G28" s="136"/>
      <c r="H28" s="136"/>
      <c r="I28" s="136"/>
      <c r="J28" s="136"/>
      <c r="K28" s="136"/>
      <c r="L28" s="136"/>
      <c r="M28" s="136"/>
      <c r="N28" s="136"/>
    </row>
    <row r="29" spans="1:14" ht="26.25" thickBot="1">
      <c r="A29" s="136"/>
      <c r="B29" s="136"/>
      <c r="C29" s="136"/>
      <c r="D29" s="58" t="s">
        <v>32</v>
      </c>
      <c r="E29" s="8" t="s">
        <v>180</v>
      </c>
      <c r="F29" s="49" t="s">
        <v>30</v>
      </c>
      <c r="G29" s="136"/>
      <c r="H29" s="136"/>
      <c r="I29" s="136"/>
      <c r="J29" s="136"/>
      <c r="K29" s="136"/>
      <c r="L29" s="136"/>
      <c r="M29" s="136"/>
      <c r="N29" s="136"/>
    </row>
    <row r="30" spans="1:14" ht="26.25" thickBot="1">
      <c r="A30" s="136"/>
      <c r="B30" s="31" t="s">
        <v>410</v>
      </c>
      <c r="C30" s="136"/>
      <c r="D30" s="59" t="s">
        <v>0</v>
      </c>
      <c r="E30" s="37" t="s">
        <v>269</v>
      </c>
      <c r="F30" s="50" t="s">
        <v>1</v>
      </c>
      <c r="G30" s="136"/>
      <c r="H30" s="136"/>
      <c r="I30" s="136"/>
      <c r="J30" s="136"/>
      <c r="K30" s="136"/>
      <c r="L30" s="136"/>
      <c r="M30" s="136"/>
      <c r="N30" s="136"/>
    </row>
    <row r="31" spans="1:14" ht="13.5" thickBot="1">
      <c r="A31" s="136"/>
      <c r="B31" s="136"/>
      <c r="C31" s="162"/>
      <c r="D31" s="136"/>
      <c r="E31" s="136"/>
      <c r="F31" s="136"/>
      <c r="G31" s="136"/>
      <c r="H31" s="136"/>
      <c r="I31" s="136"/>
      <c r="J31" s="136"/>
      <c r="K31" s="136"/>
      <c r="L31" s="136"/>
      <c r="M31" s="136"/>
      <c r="N31" s="136"/>
    </row>
    <row r="32" spans="1:14" ht="13.5" thickBot="1">
      <c r="A32" s="136"/>
      <c r="B32" s="6" t="s">
        <v>423</v>
      </c>
      <c r="C32" s="23"/>
      <c r="D32" s="17"/>
      <c r="E32" s="13">
        <v>1.3</v>
      </c>
      <c r="F32" s="63">
        <f>D32*E32</f>
        <v>0</v>
      </c>
      <c r="G32" s="136"/>
      <c r="H32" s="136"/>
      <c r="I32" s="136"/>
      <c r="J32" s="136"/>
      <c r="K32" s="136"/>
      <c r="L32" s="136"/>
      <c r="M32" s="136"/>
      <c r="N32" s="136"/>
    </row>
    <row r="33" spans="1:14" ht="13.5" thickBot="1">
      <c r="A33" s="136"/>
      <c r="B33" s="6" t="s">
        <v>424</v>
      </c>
      <c r="C33" s="23"/>
      <c r="D33" s="14"/>
      <c r="E33" s="13">
        <v>1.3</v>
      </c>
      <c r="F33" s="63">
        <f>D33*E33</f>
        <v>0</v>
      </c>
      <c r="G33" s="136"/>
      <c r="H33" s="136"/>
      <c r="I33" s="136"/>
      <c r="J33" s="136"/>
      <c r="K33" s="136"/>
      <c r="L33" s="136"/>
      <c r="M33" s="136"/>
      <c r="N33" s="136"/>
    </row>
    <row r="34" spans="1:14" ht="13.5" thickBot="1">
      <c r="A34" s="136"/>
      <c r="B34" s="6" t="s">
        <v>425</v>
      </c>
      <c r="C34" s="23"/>
      <c r="D34" s="19"/>
      <c r="E34" s="13">
        <v>1.3</v>
      </c>
      <c r="F34" s="63">
        <f>D34*E34</f>
        <v>0</v>
      </c>
      <c r="G34" s="136"/>
      <c r="H34" s="136"/>
      <c r="I34" s="136"/>
      <c r="J34" s="136"/>
      <c r="K34" s="136"/>
      <c r="L34" s="136"/>
      <c r="M34" s="136"/>
      <c r="N34" s="136"/>
    </row>
    <row r="35" spans="1:14" ht="13.5" thickBot="1">
      <c r="A35" s="136"/>
      <c r="B35" s="6" t="s">
        <v>426</v>
      </c>
      <c r="C35" s="23"/>
      <c r="D35" s="19"/>
      <c r="E35" s="13">
        <v>1.3</v>
      </c>
      <c r="F35" s="64">
        <f>D35*E35</f>
        <v>0</v>
      </c>
      <c r="G35" s="136"/>
      <c r="H35" s="136"/>
      <c r="I35" s="136"/>
      <c r="J35" s="136"/>
      <c r="K35" s="136"/>
      <c r="L35" s="136"/>
      <c r="M35" s="136"/>
      <c r="N35" s="136"/>
    </row>
    <row r="36" spans="1:14" ht="13.5" thickBot="1">
      <c r="A36" s="136"/>
      <c r="B36" s="136"/>
      <c r="C36" s="136"/>
      <c r="D36" s="136"/>
      <c r="E36" s="167" t="s">
        <v>54</v>
      </c>
      <c r="F36" s="25">
        <f>SUM(F32:F35)</f>
        <v>0</v>
      </c>
      <c r="G36" s="136"/>
      <c r="H36" s="136"/>
      <c r="I36" s="136"/>
      <c r="J36" s="136"/>
      <c r="K36" s="136"/>
      <c r="L36" s="136"/>
      <c r="M36" s="136"/>
      <c r="N36" s="136"/>
    </row>
    <row r="37" spans="1:14" ht="12.75">
      <c r="A37" s="136"/>
      <c r="B37" s="136"/>
      <c r="C37" s="136"/>
      <c r="D37" s="136"/>
      <c r="E37" s="136"/>
      <c r="G37" s="136"/>
      <c r="H37" s="136"/>
      <c r="I37" s="136"/>
      <c r="J37" s="136"/>
      <c r="K37" s="136"/>
      <c r="L37" s="136"/>
      <c r="M37" s="136"/>
      <c r="N37" s="136"/>
    </row>
    <row r="38" spans="1:14" ht="31.5" customHeight="1" thickBot="1">
      <c r="A38" s="136"/>
      <c r="B38" s="136"/>
      <c r="C38" s="136"/>
      <c r="D38" s="58" t="s">
        <v>32</v>
      </c>
      <c r="E38" s="8" t="s">
        <v>180</v>
      </c>
      <c r="F38" s="49" t="s">
        <v>30</v>
      </c>
      <c r="G38" s="136"/>
      <c r="H38" s="136"/>
      <c r="I38" s="136"/>
      <c r="J38" s="136"/>
      <c r="K38" s="136"/>
      <c r="L38" s="136"/>
      <c r="M38" s="136"/>
      <c r="N38" s="136"/>
    </row>
    <row r="39" spans="1:14" ht="31.5" customHeight="1" thickBot="1">
      <c r="A39" s="136"/>
      <c r="B39" s="31" t="s">
        <v>52</v>
      </c>
      <c r="C39" s="136"/>
      <c r="D39" s="59" t="s">
        <v>0</v>
      </c>
      <c r="E39" s="37" t="s">
        <v>269</v>
      </c>
      <c r="F39" s="50" t="s">
        <v>1</v>
      </c>
      <c r="G39" s="136"/>
      <c r="H39" s="136"/>
      <c r="I39" s="136"/>
      <c r="J39" s="136"/>
      <c r="K39" s="136"/>
      <c r="L39" s="136"/>
      <c r="M39" s="136"/>
      <c r="N39" s="136"/>
    </row>
    <row r="40" spans="1:14" ht="13.5" thickBot="1">
      <c r="A40" s="136"/>
      <c r="B40" s="136"/>
      <c r="C40" s="162"/>
      <c r="D40" s="136"/>
      <c r="E40" s="136"/>
      <c r="F40" s="136"/>
      <c r="G40" s="136"/>
      <c r="H40" s="136"/>
      <c r="I40" s="136"/>
      <c r="J40" s="136"/>
      <c r="K40" s="136"/>
      <c r="L40" s="136"/>
      <c r="M40" s="136"/>
      <c r="N40" s="136"/>
    </row>
    <row r="41" spans="1:14" ht="13.5" thickBot="1">
      <c r="A41" s="136"/>
      <c r="B41" s="6" t="s">
        <v>360</v>
      </c>
      <c r="C41" s="23"/>
      <c r="D41" s="17">
        <v>0</v>
      </c>
      <c r="E41" s="13">
        <v>0.8</v>
      </c>
      <c r="F41" s="63">
        <f>D41*E41</f>
        <v>0</v>
      </c>
      <c r="G41" s="136"/>
      <c r="H41" s="136"/>
      <c r="I41" s="136"/>
      <c r="J41" s="136"/>
      <c r="K41" s="136"/>
      <c r="L41" s="136"/>
      <c r="M41" s="136"/>
      <c r="N41" s="136"/>
    </row>
    <row r="42" spans="1:14" ht="13.5" thickBot="1">
      <c r="A42" s="136"/>
      <c r="B42" s="6" t="s">
        <v>359</v>
      </c>
      <c r="C42" s="23"/>
      <c r="D42" s="14">
        <v>0</v>
      </c>
      <c r="E42" s="13">
        <v>0.6</v>
      </c>
      <c r="F42" s="63">
        <f>D42*E42</f>
        <v>0</v>
      </c>
      <c r="G42" s="136"/>
      <c r="H42" s="136"/>
      <c r="I42" s="136"/>
      <c r="J42" s="136"/>
      <c r="K42" s="136"/>
      <c r="L42" s="136"/>
      <c r="M42" s="136"/>
      <c r="N42" s="136"/>
    </row>
    <row r="43" spans="1:14" ht="13.5" thickBot="1">
      <c r="A43" s="136"/>
      <c r="B43" s="6" t="s">
        <v>358</v>
      </c>
      <c r="C43" s="23"/>
      <c r="D43" s="19"/>
      <c r="E43" s="13">
        <v>0.4</v>
      </c>
      <c r="F43" s="64">
        <f>D43*E43</f>
        <v>0</v>
      </c>
      <c r="G43" s="136"/>
      <c r="H43" s="136"/>
      <c r="I43" s="136"/>
      <c r="J43" s="136"/>
      <c r="K43" s="136"/>
      <c r="L43" s="136"/>
      <c r="M43" s="136"/>
      <c r="N43" s="136"/>
    </row>
    <row r="44" spans="1:14" ht="13.5" thickBot="1">
      <c r="A44" s="136"/>
      <c r="B44" s="136"/>
      <c r="C44" s="136"/>
      <c r="D44" s="136"/>
      <c r="E44" s="167" t="s">
        <v>54</v>
      </c>
      <c r="F44" s="25">
        <f>SUM(F41:F43)</f>
        <v>0</v>
      </c>
      <c r="G44" s="136"/>
      <c r="H44" s="136"/>
      <c r="I44" s="136"/>
      <c r="J44" s="136"/>
      <c r="K44" s="136"/>
      <c r="L44" s="136"/>
      <c r="M44" s="136"/>
      <c r="N44" s="136"/>
    </row>
    <row r="45" spans="1:14" ht="12.75">
      <c r="A45" s="136"/>
      <c r="B45" s="136"/>
      <c r="C45" s="136"/>
      <c r="D45" s="136"/>
      <c r="E45" s="136"/>
      <c r="G45" s="136"/>
      <c r="H45" s="136"/>
      <c r="I45" s="136"/>
      <c r="J45" s="136"/>
      <c r="K45" s="136"/>
      <c r="L45" s="136"/>
      <c r="M45" s="136"/>
      <c r="N45" s="136"/>
    </row>
    <row r="46" spans="1:14" ht="31.5" customHeight="1" thickBot="1">
      <c r="A46" s="136"/>
      <c r="C46" s="136"/>
      <c r="D46" s="58" t="s">
        <v>32</v>
      </c>
      <c r="E46" s="8" t="s">
        <v>180</v>
      </c>
      <c r="F46" s="49" t="s">
        <v>30</v>
      </c>
      <c r="G46" s="136"/>
      <c r="H46" s="136"/>
      <c r="I46" s="136"/>
      <c r="J46" s="136"/>
      <c r="K46" s="136"/>
      <c r="L46" s="136"/>
      <c r="M46" s="136"/>
      <c r="N46" s="136"/>
    </row>
    <row r="47" spans="1:14" ht="31.5" customHeight="1" thickBot="1">
      <c r="A47" s="136"/>
      <c r="B47" s="105" t="s">
        <v>354</v>
      </c>
      <c r="C47" s="136"/>
      <c r="D47" s="59" t="s">
        <v>0</v>
      </c>
      <c r="E47" s="37" t="s">
        <v>269</v>
      </c>
      <c r="F47" s="50" t="s">
        <v>1</v>
      </c>
      <c r="G47" s="136"/>
      <c r="H47" s="136"/>
      <c r="I47" s="136"/>
      <c r="J47" s="136"/>
      <c r="K47" s="136"/>
      <c r="L47" s="136"/>
      <c r="M47" s="136"/>
      <c r="N47" s="136"/>
    </row>
    <row r="48" spans="1:14" ht="21" customHeight="1" thickBot="1">
      <c r="A48" s="136"/>
      <c r="B48" s="173" t="s">
        <v>353</v>
      </c>
      <c r="C48" s="162"/>
      <c r="D48" s="136"/>
      <c r="E48" s="136"/>
      <c r="F48" s="136"/>
      <c r="G48" s="136"/>
      <c r="H48" s="136"/>
      <c r="I48" s="136"/>
      <c r="J48" s="136"/>
      <c r="K48" s="136"/>
      <c r="L48" s="136"/>
      <c r="M48" s="136"/>
      <c r="N48" s="136"/>
    </row>
    <row r="49" spans="1:14" ht="13.5" thickBot="1">
      <c r="A49" s="136"/>
      <c r="B49" s="6" t="s">
        <v>349</v>
      </c>
      <c r="C49" s="23"/>
      <c r="D49" s="17"/>
      <c r="E49" s="13">
        <v>0.08</v>
      </c>
      <c r="F49" s="63">
        <f>D49*E49</f>
        <v>0</v>
      </c>
      <c r="G49" s="136"/>
      <c r="H49" s="136"/>
      <c r="I49" s="136"/>
      <c r="J49" s="136"/>
      <c r="K49" s="136"/>
      <c r="L49" s="136"/>
      <c r="M49" s="136"/>
      <c r="N49" s="136"/>
    </row>
    <row r="50" spans="1:14" ht="13.5" thickBot="1">
      <c r="A50" s="136"/>
      <c r="B50" s="6" t="s">
        <v>351</v>
      </c>
      <c r="C50" s="23"/>
      <c r="D50" s="14">
        <v>0</v>
      </c>
      <c r="E50" s="13">
        <v>0.04</v>
      </c>
      <c r="F50" s="63">
        <f>D50*E50</f>
        <v>0</v>
      </c>
      <c r="G50" s="136"/>
      <c r="H50" s="136"/>
      <c r="I50" s="136"/>
      <c r="J50" s="136"/>
      <c r="K50" s="136"/>
      <c r="L50" s="136"/>
      <c r="M50" s="136"/>
      <c r="N50" s="136"/>
    </row>
    <row r="51" spans="1:14" ht="13.5" thickBot="1">
      <c r="A51" s="136"/>
      <c r="B51" s="6" t="s">
        <v>350</v>
      </c>
      <c r="C51" s="23"/>
      <c r="D51" s="19">
        <v>0</v>
      </c>
      <c r="E51" s="13">
        <v>0.0005</v>
      </c>
      <c r="F51" s="64">
        <f>D51*E51</f>
        <v>0</v>
      </c>
      <c r="G51" s="136"/>
      <c r="H51" s="136"/>
      <c r="I51" s="136"/>
      <c r="J51" s="136"/>
      <c r="K51" s="136"/>
      <c r="L51" s="136"/>
      <c r="M51" s="136"/>
      <c r="N51" s="136"/>
    </row>
    <row r="52" spans="1:14" ht="13.5" thickBot="1">
      <c r="A52" s="136"/>
      <c r="B52" s="136"/>
      <c r="C52" s="136"/>
      <c r="D52" s="136"/>
      <c r="E52" s="167" t="s">
        <v>54</v>
      </c>
      <c r="F52" s="25">
        <f>SUM(F49:F51)</f>
        <v>0</v>
      </c>
      <c r="G52" s="136"/>
      <c r="H52" s="136"/>
      <c r="I52" s="136"/>
      <c r="J52" s="136"/>
      <c r="K52" s="136"/>
      <c r="L52" s="136"/>
      <c r="M52" s="136"/>
      <c r="N52" s="136"/>
    </row>
    <row r="53" spans="1:14" ht="12.75">
      <c r="A53" s="136"/>
      <c r="B53" s="136"/>
      <c r="C53" s="136"/>
      <c r="D53" s="136"/>
      <c r="E53" s="136"/>
      <c r="G53" s="136"/>
      <c r="H53" s="136"/>
      <c r="I53" s="136"/>
      <c r="J53" s="136"/>
      <c r="K53" s="136"/>
      <c r="L53" s="136"/>
      <c r="M53" s="136"/>
      <c r="N53" s="136"/>
    </row>
    <row r="54" spans="1:14" ht="31.5" customHeight="1" thickBot="1">
      <c r="A54" s="136"/>
      <c r="C54" s="136"/>
      <c r="D54" s="58" t="s">
        <v>295</v>
      </c>
      <c r="E54" s="8" t="s">
        <v>181</v>
      </c>
      <c r="F54" s="49" t="s">
        <v>30</v>
      </c>
      <c r="G54" s="136"/>
      <c r="H54" s="136"/>
      <c r="I54" s="136"/>
      <c r="J54" s="136"/>
      <c r="K54" s="136"/>
      <c r="L54" s="136"/>
      <c r="M54" s="136"/>
      <c r="N54" s="136"/>
    </row>
    <row r="55" spans="1:14" ht="18.75" customHeight="1" thickBot="1">
      <c r="A55" s="136"/>
      <c r="B55" s="31" t="s">
        <v>53</v>
      </c>
      <c r="C55" s="136"/>
      <c r="D55" s="59" t="s">
        <v>43</v>
      </c>
      <c r="E55" s="136"/>
      <c r="F55" s="50" t="s">
        <v>1</v>
      </c>
      <c r="G55" s="136"/>
      <c r="H55" s="136"/>
      <c r="I55" s="136"/>
      <c r="J55" s="136"/>
      <c r="K55" s="136"/>
      <c r="L55" s="136"/>
      <c r="M55" s="136"/>
      <c r="N55" s="136"/>
    </row>
    <row r="56" spans="1:14" ht="13.5" thickBot="1">
      <c r="A56" s="136"/>
      <c r="B56" s="136"/>
      <c r="C56" s="162"/>
      <c r="E56" s="136"/>
      <c r="F56" s="136"/>
      <c r="G56" s="136"/>
      <c r="H56" s="136"/>
      <c r="I56" s="136"/>
      <c r="J56" s="136"/>
      <c r="K56" s="136"/>
      <c r="L56" s="136"/>
      <c r="M56" s="136"/>
      <c r="N56" s="136"/>
    </row>
    <row r="57" spans="1:14" ht="13.5" thickBot="1">
      <c r="A57" s="136"/>
      <c r="B57" s="6" t="s">
        <v>50</v>
      </c>
      <c r="C57" s="23"/>
      <c r="D57" s="14"/>
      <c r="E57" s="13">
        <v>0.005</v>
      </c>
      <c r="F57" s="64">
        <f>D57*E57</f>
        <v>0</v>
      </c>
      <c r="G57" s="136"/>
      <c r="H57" s="136"/>
      <c r="I57" s="136"/>
      <c r="J57" s="136"/>
      <c r="K57" s="136"/>
      <c r="L57" s="136"/>
      <c r="M57" s="136"/>
      <c r="N57" s="136"/>
    </row>
    <row r="58" spans="1:14" ht="13.5" thickBot="1">
      <c r="A58" s="136"/>
      <c r="B58" s="136"/>
      <c r="C58" s="136"/>
      <c r="D58" s="136"/>
      <c r="E58" s="167" t="s">
        <v>54</v>
      </c>
      <c r="F58" s="25">
        <f>SUM(F57:F57)</f>
        <v>0</v>
      </c>
      <c r="G58" s="136"/>
      <c r="H58" s="136"/>
      <c r="I58" s="136"/>
      <c r="J58" s="136"/>
      <c r="K58" s="136"/>
      <c r="L58" s="136"/>
      <c r="M58" s="136"/>
      <c r="N58" s="136"/>
    </row>
    <row r="59" spans="1:14" ht="12.75">
      <c r="A59" s="136"/>
      <c r="B59" s="136"/>
      <c r="C59" s="136"/>
      <c r="D59" s="136"/>
      <c r="E59" s="136"/>
      <c r="G59" s="136"/>
      <c r="H59" s="136"/>
      <c r="I59" s="136"/>
      <c r="J59" s="136"/>
      <c r="K59" s="136"/>
      <c r="L59" s="136"/>
      <c r="M59" s="136"/>
      <c r="N59" s="136"/>
    </row>
    <row r="60" spans="1:14" ht="31.5" customHeight="1" thickBot="1">
      <c r="A60" s="136"/>
      <c r="C60" s="242" t="s">
        <v>347</v>
      </c>
      <c r="D60" s="58" t="s">
        <v>69</v>
      </c>
      <c r="E60" s="8" t="s">
        <v>180</v>
      </c>
      <c r="F60" s="49" t="s">
        <v>30</v>
      </c>
      <c r="G60" s="136"/>
      <c r="H60" s="136"/>
      <c r="I60" s="136"/>
      <c r="J60" s="136"/>
      <c r="K60" s="136"/>
      <c r="L60" s="136"/>
      <c r="M60" s="136"/>
      <c r="N60" s="136"/>
    </row>
    <row r="61" spans="1:14" ht="31.5" customHeight="1" thickBot="1">
      <c r="A61" s="136"/>
      <c r="B61" s="161" t="s">
        <v>407</v>
      </c>
      <c r="C61" s="243"/>
      <c r="D61" s="59" t="s">
        <v>70</v>
      </c>
      <c r="F61" s="50" t="s">
        <v>1</v>
      </c>
      <c r="G61" s="136"/>
      <c r="H61" s="136"/>
      <c r="I61" s="136"/>
      <c r="J61" s="136"/>
      <c r="K61" s="136"/>
      <c r="L61" s="136"/>
      <c r="M61" s="136"/>
      <c r="N61" s="136"/>
    </row>
    <row r="62" spans="1:14" ht="15.75" customHeight="1" thickBot="1">
      <c r="A62" s="136"/>
      <c r="B62" s="136"/>
      <c r="C62" s="172"/>
      <c r="D62" s="136"/>
      <c r="E62" s="136"/>
      <c r="F62" s="136"/>
      <c r="G62" s="136"/>
      <c r="H62" s="136"/>
      <c r="I62" s="136"/>
      <c r="J62" s="136"/>
      <c r="K62" s="136"/>
      <c r="L62" s="136"/>
      <c r="M62" s="136"/>
      <c r="N62" s="136"/>
    </row>
    <row r="63" spans="1:14" ht="13.5" thickBot="1">
      <c r="A63" s="136"/>
      <c r="B63" s="10" t="s">
        <v>427</v>
      </c>
      <c r="C63" s="22"/>
      <c r="D63" s="17"/>
      <c r="E63" s="13">
        <v>5E-05</v>
      </c>
      <c r="F63" s="64">
        <f>D63*E63*C63</f>
        <v>0</v>
      </c>
      <c r="G63" s="136"/>
      <c r="H63" s="136"/>
      <c r="I63" s="136"/>
      <c r="J63" s="136"/>
      <c r="K63" s="136"/>
      <c r="L63" s="136"/>
      <c r="M63" s="136"/>
      <c r="N63" s="136"/>
    </row>
    <row r="64" spans="1:14" ht="13.5" thickBot="1">
      <c r="A64" s="136"/>
      <c r="B64" s="10" t="s">
        <v>428</v>
      </c>
      <c r="C64" s="22"/>
      <c r="D64" s="14"/>
      <c r="E64" s="13">
        <v>5E-05</v>
      </c>
      <c r="F64" s="64">
        <f aca="true" t="shared" si="1" ref="F64:F100">D64*E64*C64</f>
        <v>0</v>
      </c>
      <c r="G64" s="136"/>
      <c r="H64" s="136"/>
      <c r="I64" s="136"/>
      <c r="J64" s="136"/>
      <c r="K64" s="136"/>
      <c r="L64" s="136"/>
      <c r="M64" s="136"/>
      <c r="N64" s="136"/>
    </row>
    <row r="65" spans="1:14" ht="13.5" thickBot="1">
      <c r="A65" s="136"/>
      <c r="B65" s="10" t="s">
        <v>429</v>
      </c>
      <c r="C65" s="26"/>
      <c r="D65" s="18"/>
      <c r="E65" s="13">
        <v>5E-05</v>
      </c>
      <c r="F65" s="64">
        <f t="shared" si="1"/>
        <v>0</v>
      </c>
      <c r="G65" s="136"/>
      <c r="H65" s="136"/>
      <c r="I65" s="136"/>
      <c r="J65" s="136"/>
      <c r="K65" s="136"/>
      <c r="L65" s="136"/>
      <c r="M65" s="136"/>
      <c r="N65" s="136"/>
    </row>
    <row r="66" spans="1:14" ht="13.5" thickBot="1">
      <c r="A66" s="136"/>
      <c r="B66" s="10" t="s">
        <v>430</v>
      </c>
      <c r="C66" s="22"/>
      <c r="D66" s="14"/>
      <c r="E66" s="13">
        <v>5E-05</v>
      </c>
      <c r="F66" s="64">
        <f t="shared" si="1"/>
        <v>0</v>
      </c>
      <c r="G66" s="136"/>
      <c r="H66" s="136"/>
      <c r="I66" s="136"/>
      <c r="J66" s="136"/>
      <c r="K66" s="136"/>
      <c r="L66" s="136"/>
      <c r="M66" s="136"/>
      <c r="N66" s="136"/>
    </row>
    <row r="67" spans="1:14" ht="13.5" thickBot="1">
      <c r="A67" s="136"/>
      <c r="B67" s="10" t="s">
        <v>431</v>
      </c>
      <c r="C67" s="26"/>
      <c r="D67" s="18"/>
      <c r="E67" s="13">
        <v>5E-05</v>
      </c>
      <c r="F67" s="64">
        <f t="shared" si="1"/>
        <v>0</v>
      </c>
      <c r="G67" s="136"/>
      <c r="H67" s="136"/>
      <c r="I67" s="136"/>
      <c r="J67" s="136"/>
      <c r="K67" s="136"/>
      <c r="L67" s="136"/>
      <c r="M67" s="136"/>
      <c r="N67" s="136"/>
    </row>
    <row r="68" spans="1:14" ht="13.5" thickBot="1">
      <c r="A68" s="136"/>
      <c r="B68" s="10" t="s">
        <v>432</v>
      </c>
      <c r="C68" s="22"/>
      <c r="D68" s="14"/>
      <c r="E68" s="13">
        <v>5E-05</v>
      </c>
      <c r="F68" s="64">
        <f t="shared" si="1"/>
        <v>0</v>
      </c>
      <c r="G68" s="136"/>
      <c r="H68" s="136"/>
      <c r="I68" s="136"/>
      <c r="J68" s="136"/>
      <c r="K68" s="136"/>
      <c r="L68" s="136"/>
      <c r="M68" s="136"/>
      <c r="N68" s="136"/>
    </row>
    <row r="69" spans="1:14" ht="13.5" thickBot="1">
      <c r="A69" s="136"/>
      <c r="B69" s="10" t="s">
        <v>433</v>
      </c>
      <c r="C69" s="26"/>
      <c r="D69" s="18"/>
      <c r="E69" s="13">
        <v>5E-05</v>
      </c>
      <c r="F69" s="64">
        <f t="shared" si="1"/>
        <v>0</v>
      </c>
      <c r="G69" s="136"/>
      <c r="H69" s="136"/>
      <c r="I69" s="136"/>
      <c r="J69" s="136"/>
      <c r="K69" s="136"/>
      <c r="L69" s="136"/>
      <c r="M69" s="136"/>
      <c r="N69" s="136"/>
    </row>
    <row r="70" spans="1:14" ht="13.5" thickBot="1">
      <c r="A70" s="136"/>
      <c r="B70" s="10" t="s">
        <v>434</v>
      </c>
      <c r="C70" s="22"/>
      <c r="D70" s="14"/>
      <c r="E70" s="13">
        <v>5E-05</v>
      </c>
      <c r="F70" s="64">
        <f t="shared" si="1"/>
        <v>0</v>
      </c>
      <c r="G70" s="136"/>
      <c r="H70" s="136"/>
      <c r="I70" s="136"/>
      <c r="J70" s="136"/>
      <c r="K70" s="136"/>
      <c r="L70" s="136"/>
      <c r="M70" s="136"/>
      <c r="N70" s="136"/>
    </row>
    <row r="71" spans="1:14" ht="13.5" thickBot="1">
      <c r="A71" s="136"/>
      <c r="B71" s="10" t="s">
        <v>435</v>
      </c>
      <c r="C71" s="26"/>
      <c r="D71" s="18"/>
      <c r="E71" s="13">
        <v>5E-05</v>
      </c>
      <c r="F71" s="64">
        <f t="shared" si="1"/>
        <v>0</v>
      </c>
      <c r="G71" s="136"/>
      <c r="H71" s="136"/>
      <c r="I71" s="136"/>
      <c r="J71" s="136"/>
      <c r="K71" s="136"/>
      <c r="L71" s="136"/>
      <c r="M71" s="136"/>
      <c r="N71" s="136"/>
    </row>
    <row r="72" spans="1:14" ht="13.5" thickBot="1">
      <c r="A72" s="136"/>
      <c r="B72" s="10" t="s">
        <v>436</v>
      </c>
      <c r="C72" s="22"/>
      <c r="D72" s="14"/>
      <c r="E72" s="13">
        <v>5E-05</v>
      </c>
      <c r="F72" s="64">
        <f t="shared" si="1"/>
        <v>0</v>
      </c>
      <c r="G72" s="136"/>
      <c r="H72" s="136"/>
      <c r="I72" s="136"/>
      <c r="J72" s="136"/>
      <c r="K72" s="136"/>
      <c r="L72" s="136"/>
      <c r="M72" s="136"/>
      <c r="N72" s="136"/>
    </row>
    <row r="73" spans="1:14" ht="13.5" thickBot="1">
      <c r="A73" s="136"/>
      <c r="B73" s="10" t="s">
        <v>437</v>
      </c>
      <c r="C73" s="26"/>
      <c r="D73" s="18"/>
      <c r="E73" s="13">
        <v>5E-05</v>
      </c>
      <c r="F73" s="64">
        <f t="shared" si="1"/>
        <v>0</v>
      </c>
      <c r="G73" s="136"/>
      <c r="H73" s="136"/>
      <c r="I73" s="136"/>
      <c r="J73" s="136"/>
      <c r="K73" s="136"/>
      <c r="L73" s="136"/>
      <c r="M73" s="136"/>
      <c r="N73" s="136"/>
    </row>
    <row r="74" spans="1:14" ht="13.5" thickBot="1">
      <c r="A74" s="136"/>
      <c r="B74" s="10" t="s">
        <v>71</v>
      </c>
      <c r="C74" s="22"/>
      <c r="D74" s="14"/>
      <c r="E74" s="13">
        <v>5E-05</v>
      </c>
      <c r="F74" s="64">
        <f t="shared" si="1"/>
        <v>0</v>
      </c>
      <c r="G74" s="136"/>
      <c r="H74" s="136"/>
      <c r="I74" s="136"/>
      <c r="J74" s="136"/>
      <c r="K74" s="136"/>
      <c r="L74" s="136"/>
      <c r="M74" s="136"/>
      <c r="N74" s="136"/>
    </row>
    <row r="75" spans="1:14" ht="13.5" thickBot="1">
      <c r="A75" s="136"/>
      <c r="B75" s="10" t="s">
        <v>72</v>
      </c>
      <c r="C75" s="26"/>
      <c r="D75" s="18"/>
      <c r="E75" s="13">
        <v>5E-05</v>
      </c>
      <c r="F75" s="64">
        <f t="shared" si="1"/>
        <v>0</v>
      </c>
      <c r="G75" s="136"/>
      <c r="H75" s="136"/>
      <c r="I75" s="136"/>
      <c r="J75" s="136"/>
      <c r="K75" s="136"/>
      <c r="L75" s="136"/>
      <c r="M75" s="136"/>
      <c r="N75" s="136"/>
    </row>
    <row r="76" spans="1:14" ht="13.5" thickBot="1">
      <c r="A76" s="136"/>
      <c r="B76" s="10" t="s">
        <v>73</v>
      </c>
      <c r="C76" s="22"/>
      <c r="D76" s="14"/>
      <c r="E76" s="13">
        <v>5E-05</v>
      </c>
      <c r="F76" s="64">
        <f t="shared" si="1"/>
        <v>0</v>
      </c>
      <c r="G76" s="136"/>
      <c r="H76" s="136"/>
      <c r="I76" s="136"/>
      <c r="J76" s="136"/>
      <c r="K76" s="136"/>
      <c r="L76" s="136"/>
      <c r="M76" s="136"/>
      <c r="N76" s="136"/>
    </row>
    <row r="77" spans="1:14" ht="13.5" thickBot="1">
      <c r="A77" s="136"/>
      <c r="B77" s="10" t="s">
        <v>74</v>
      </c>
      <c r="C77" s="26"/>
      <c r="D77" s="18"/>
      <c r="E77" s="13">
        <v>5E-05</v>
      </c>
      <c r="F77" s="64">
        <f t="shared" si="1"/>
        <v>0</v>
      </c>
      <c r="G77" s="136"/>
      <c r="H77" s="136"/>
      <c r="I77" s="136"/>
      <c r="J77" s="136"/>
      <c r="K77" s="136"/>
      <c r="L77" s="136"/>
      <c r="M77" s="136"/>
      <c r="N77" s="136"/>
    </row>
    <row r="78" spans="1:14" ht="13.5" thickBot="1">
      <c r="A78" s="136"/>
      <c r="B78" s="20" t="s">
        <v>75</v>
      </c>
      <c r="C78" s="22"/>
      <c r="D78" s="14"/>
      <c r="E78" s="29">
        <v>5E-05</v>
      </c>
      <c r="F78" s="64">
        <f t="shared" si="1"/>
        <v>0</v>
      </c>
      <c r="G78" s="136"/>
      <c r="H78" s="136"/>
      <c r="I78" s="136"/>
      <c r="J78" s="136"/>
      <c r="K78" s="136"/>
      <c r="L78" s="136"/>
      <c r="M78" s="136"/>
      <c r="N78" s="136"/>
    </row>
    <row r="79" spans="1:14" ht="13.5" thickBot="1">
      <c r="A79" s="136"/>
      <c r="B79" s="20" t="s">
        <v>374</v>
      </c>
      <c r="C79" s="26"/>
      <c r="D79" s="18"/>
      <c r="E79" s="29">
        <v>5E-05</v>
      </c>
      <c r="F79" s="64">
        <f t="shared" si="1"/>
        <v>0</v>
      </c>
      <c r="G79" s="136"/>
      <c r="H79" s="136"/>
      <c r="I79" s="136"/>
      <c r="J79" s="136"/>
      <c r="K79" s="136"/>
      <c r="L79" s="136"/>
      <c r="M79" s="136"/>
      <c r="N79" s="136"/>
    </row>
    <row r="80" spans="1:14" ht="13.5" thickBot="1">
      <c r="A80" s="136"/>
      <c r="B80" s="20" t="s">
        <v>375</v>
      </c>
      <c r="C80" s="22"/>
      <c r="D80" s="14"/>
      <c r="E80" s="29">
        <v>5E-05</v>
      </c>
      <c r="F80" s="64">
        <f t="shared" si="1"/>
        <v>0</v>
      </c>
      <c r="G80" s="136"/>
      <c r="H80" s="136"/>
      <c r="I80" s="136"/>
      <c r="J80" s="136"/>
      <c r="K80" s="136"/>
      <c r="L80" s="136"/>
      <c r="M80" s="136"/>
      <c r="N80" s="136"/>
    </row>
    <row r="81" spans="1:14" ht="13.5" thickBot="1">
      <c r="A81" s="136"/>
      <c r="B81" s="20" t="s">
        <v>376</v>
      </c>
      <c r="C81" s="26"/>
      <c r="D81" s="18"/>
      <c r="E81" s="29">
        <v>5E-05</v>
      </c>
      <c r="F81" s="64">
        <f t="shared" si="1"/>
        <v>0</v>
      </c>
      <c r="G81" s="136"/>
      <c r="H81" s="136"/>
      <c r="I81" s="136"/>
      <c r="J81" s="136"/>
      <c r="K81" s="136"/>
      <c r="L81" s="136"/>
      <c r="M81" s="136"/>
      <c r="N81" s="136"/>
    </row>
    <row r="82" spans="1:14" ht="13.5" thickBot="1">
      <c r="A82" s="136"/>
      <c r="B82" s="20" t="s">
        <v>377</v>
      </c>
      <c r="C82" s="22"/>
      <c r="D82" s="14"/>
      <c r="E82" s="29">
        <v>5E-05</v>
      </c>
      <c r="F82" s="64">
        <f t="shared" si="1"/>
        <v>0</v>
      </c>
      <c r="G82" s="136"/>
      <c r="H82" s="136"/>
      <c r="I82" s="136"/>
      <c r="J82" s="136"/>
      <c r="K82" s="136"/>
      <c r="L82" s="136"/>
      <c r="M82" s="136"/>
      <c r="N82" s="136"/>
    </row>
    <row r="83" spans="1:14" ht="13.5" thickBot="1">
      <c r="A83" s="136"/>
      <c r="B83" s="20" t="s">
        <v>395</v>
      </c>
      <c r="C83" s="26"/>
      <c r="D83" s="18"/>
      <c r="E83" s="29">
        <v>5E-05</v>
      </c>
      <c r="F83" s="64">
        <f t="shared" si="1"/>
        <v>0</v>
      </c>
      <c r="G83" s="136"/>
      <c r="H83" s="136"/>
      <c r="I83" s="136"/>
      <c r="J83" s="136"/>
      <c r="K83" s="136"/>
      <c r="L83" s="136"/>
      <c r="M83" s="136"/>
      <c r="N83" s="136"/>
    </row>
    <row r="84" spans="1:14" ht="13.5" thickBot="1">
      <c r="A84" s="136"/>
      <c r="B84" s="20" t="s">
        <v>396</v>
      </c>
      <c r="C84" s="22"/>
      <c r="D84" s="14"/>
      <c r="E84" s="29">
        <v>5E-05</v>
      </c>
      <c r="F84" s="64">
        <f t="shared" si="1"/>
        <v>0</v>
      </c>
      <c r="G84" s="136"/>
      <c r="H84" s="136"/>
      <c r="I84" s="136"/>
      <c r="J84" s="136"/>
      <c r="K84" s="136"/>
      <c r="L84" s="136"/>
      <c r="M84" s="136"/>
      <c r="N84" s="136"/>
    </row>
    <row r="85" spans="1:14" ht="13.5" thickBot="1">
      <c r="A85" s="136"/>
      <c r="B85" s="20" t="s">
        <v>397</v>
      </c>
      <c r="C85" s="26"/>
      <c r="D85" s="18"/>
      <c r="E85" s="29">
        <v>5E-05</v>
      </c>
      <c r="F85" s="64">
        <f t="shared" si="1"/>
        <v>0</v>
      </c>
      <c r="G85" s="136"/>
      <c r="H85" s="136"/>
      <c r="I85" s="136"/>
      <c r="J85" s="136"/>
      <c r="K85" s="136"/>
      <c r="L85" s="136"/>
      <c r="M85" s="136"/>
      <c r="N85" s="136"/>
    </row>
    <row r="86" spans="1:14" ht="13.5" thickBot="1">
      <c r="A86" s="136"/>
      <c r="B86" s="20" t="s">
        <v>398</v>
      </c>
      <c r="C86" s="22"/>
      <c r="D86" s="14"/>
      <c r="E86" s="29">
        <v>5E-05</v>
      </c>
      <c r="F86" s="64">
        <f t="shared" si="1"/>
        <v>0</v>
      </c>
      <c r="G86" s="136"/>
      <c r="H86" s="136"/>
      <c r="I86" s="136"/>
      <c r="J86" s="136"/>
      <c r="K86" s="136"/>
      <c r="L86" s="136"/>
      <c r="M86" s="136"/>
      <c r="N86" s="136"/>
    </row>
    <row r="87" spans="1:14" ht="13.5" thickBot="1">
      <c r="A87" s="136"/>
      <c r="B87" s="20" t="s">
        <v>399</v>
      </c>
      <c r="C87" s="26"/>
      <c r="D87" s="14"/>
      <c r="E87" s="29">
        <v>5E-05</v>
      </c>
      <c r="F87" s="64">
        <f t="shared" si="1"/>
        <v>0</v>
      </c>
      <c r="G87" s="136"/>
      <c r="H87" s="136"/>
      <c r="I87" s="136"/>
      <c r="J87" s="136"/>
      <c r="K87" s="136"/>
      <c r="L87" s="136"/>
      <c r="M87" s="136"/>
      <c r="N87" s="136"/>
    </row>
    <row r="88" spans="1:14" ht="13.5" thickBot="1">
      <c r="A88" s="136"/>
      <c r="B88" s="20" t="s">
        <v>400</v>
      </c>
      <c r="C88" s="22"/>
      <c r="D88" s="18"/>
      <c r="E88" s="29">
        <v>5E-05</v>
      </c>
      <c r="F88" s="64">
        <f t="shared" si="1"/>
        <v>0</v>
      </c>
      <c r="G88" s="136"/>
      <c r="H88" s="136"/>
      <c r="I88" s="136"/>
      <c r="J88" s="136"/>
      <c r="K88" s="136"/>
      <c r="L88" s="136"/>
      <c r="M88" s="136"/>
      <c r="N88" s="136"/>
    </row>
    <row r="89" spans="1:14" ht="13.5" thickBot="1">
      <c r="A89" s="136"/>
      <c r="B89" s="20" t="s">
        <v>401</v>
      </c>
      <c r="C89" s="22"/>
      <c r="D89" s="14"/>
      <c r="E89" s="29">
        <v>5E-05</v>
      </c>
      <c r="F89" s="64">
        <f t="shared" si="1"/>
        <v>0</v>
      </c>
      <c r="G89" s="136"/>
      <c r="H89" s="136"/>
      <c r="I89" s="136"/>
      <c r="J89" s="136"/>
      <c r="K89" s="136"/>
      <c r="L89" s="136"/>
      <c r="M89" s="136"/>
      <c r="N89" s="136"/>
    </row>
    <row r="90" spans="1:14" ht="13.5" thickBot="1">
      <c r="A90" s="136"/>
      <c r="B90" s="20" t="s">
        <v>402</v>
      </c>
      <c r="C90" s="26"/>
      <c r="D90" s="18"/>
      <c r="E90" s="29">
        <v>5E-05</v>
      </c>
      <c r="F90" s="64">
        <f t="shared" si="1"/>
        <v>0</v>
      </c>
      <c r="G90" s="136"/>
      <c r="H90" s="136"/>
      <c r="I90" s="136"/>
      <c r="J90" s="136"/>
      <c r="K90" s="136"/>
      <c r="L90" s="136"/>
      <c r="M90" s="136"/>
      <c r="N90" s="136"/>
    </row>
    <row r="91" spans="1:14" ht="13.5" thickBot="1">
      <c r="A91" s="136"/>
      <c r="B91" s="20" t="s">
        <v>403</v>
      </c>
      <c r="C91" s="22"/>
      <c r="D91" s="14"/>
      <c r="E91" s="29">
        <v>5E-05</v>
      </c>
      <c r="F91" s="64">
        <f t="shared" si="1"/>
        <v>0</v>
      </c>
      <c r="G91" s="136"/>
      <c r="H91" s="136"/>
      <c r="I91" s="136"/>
      <c r="J91" s="136"/>
      <c r="K91" s="136"/>
      <c r="L91" s="136"/>
      <c r="M91" s="136"/>
      <c r="N91" s="136"/>
    </row>
    <row r="92" spans="1:14" ht="13.5" thickBot="1">
      <c r="A92" s="136"/>
      <c r="B92" s="20" t="s">
        <v>404</v>
      </c>
      <c r="C92" s="26"/>
      <c r="D92" s="18"/>
      <c r="E92" s="29">
        <v>5E-05</v>
      </c>
      <c r="F92" s="64">
        <f t="shared" si="1"/>
        <v>0</v>
      </c>
      <c r="G92" s="136"/>
      <c r="H92" s="136"/>
      <c r="I92" s="136"/>
      <c r="J92" s="136"/>
      <c r="K92" s="136"/>
      <c r="L92" s="136"/>
      <c r="M92" s="136"/>
      <c r="N92" s="136"/>
    </row>
    <row r="93" spans="1:14" ht="13.5" thickBot="1">
      <c r="A93" s="136"/>
      <c r="B93" s="20" t="s">
        <v>405</v>
      </c>
      <c r="C93" s="22"/>
      <c r="D93" s="14"/>
      <c r="E93" s="29">
        <v>5E-05</v>
      </c>
      <c r="F93" s="64">
        <f t="shared" si="1"/>
        <v>0</v>
      </c>
      <c r="G93" s="136"/>
      <c r="H93" s="136"/>
      <c r="I93" s="136"/>
      <c r="J93" s="136"/>
      <c r="K93" s="136"/>
      <c r="L93" s="136"/>
      <c r="M93" s="136"/>
      <c r="N93" s="136"/>
    </row>
    <row r="94" spans="1:14" ht="13.5" thickBot="1">
      <c r="A94" s="136"/>
      <c r="B94" s="20" t="s">
        <v>406</v>
      </c>
      <c r="C94" s="22"/>
      <c r="D94" s="14"/>
      <c r="E94" s="29">
        <v>5E-05</v>
      </c>
      <c r="F94" s="64">
        <f t="shared" si="1"/>
        <v>0</v>
      </c>
      <c r="G94" s="136"/>
      <c r="H94" s="136"/>
      <c r="I94" s="136"/>
      <c r="J94" s="136"/>
      <c r="K94" s="136"/>
      <c r="L94" s="136"/>
      <c r="M94" s="136"/>
      <c r="N94" s="136"/>
    </row>
    <row r="95" spans="1:14" ht="13.5" thickBot="1">
      <c r="A95" s="136"/>
      <c r="B95" s="10" t="s">
        <v>76</v>
      </c>
      <c r="C95" s="26"/>
      <c r="D95" s="18"/>
      <c r="E95" s="13">
        <v>0.00015</v>
      </c>
      <c r="F95" s="63">
        <f t="shared" si="1"/>
        <v>0</v>
      </c>
      <c r="G95" s="136"/>
      <c r="H95" s="136"/>
      <c r="I95" s="136"/>
      <c r="J95" s="136"/>
      <c r="K95" s="136"/>
      <c r="L95" s="136"/>
      <c r="M95" s="136"/>
      <c r="N95" s="136"/>
    </row>
    <row r="96" spans="1:14" ht="13.5" thickBot="1">
      <c r="A96" s="136"/>
      <c r="B96" s="20" t="s">
        <v>77</v>
      </c>
      <c r="C96" s="30"/>
      <c r="D96" s="17"/>
      <c r="E96" s="29">
        <v>0.00015</v>
      </c>
      <c r="F96" s="64">
        <f t="shared" si="1"/>
        <v>0</v>
      </c>
      <c r="G96" s="136"/>
      <c r="H96" s="136"/>
      <c r="I96" s="136"/>
      <c r="J96" s="136"/>
      <c r="K96" s="136"/>
      <c r="L96" s="136"/>
      <c r="M96" s="136"/>
      <c r="N96" s="136"/>
    </row>
    <row r="97" spans="1:14" ht="13.5" thickBot="1">
      <c r="A97" s="136"/>
      <c r="B97" s="10" t="s">
        <v>438</v>
      </c>
      <c r="C97" s="22"/>
      <c r="D97" s="14"/>
      <c r="E97" s="13">
        <v>0.0004</v>
      </c>
      <c r="F97" s="63">
        <f t="shared" si="1"/>
        <v>0</v>
      </c>
      <c r="G97" s="136"/>
      <c r="H97" s="136"/>
      <c r="I97" s="136"/>
      <c r="J97" s="136"/>
      <c r="K97" s="136"/>
      <c r="L97" s="136"/>
      <c r="M97" s="136"/>
      <c r="N97" s="136"/>
    </row>
    <row r="98" spans="1:14" ht="13.5" thickBot="1">
      <c r="A98" s="136"/>
      <c r="B98" s="10" t="s">
        <v>348</v>
      </c>
      <c r="C98" s="22"/>
      <c r="D98" s="14"/>
      <c r="E98" s="13">
        <v>0.0004</v>
      </c>
      <c r="F98" s="64">
        <f t="shared" si="1"/>
        <v>0</v>
      </c>
      <c r="G98" s="136"/>
      <c r="H98" s="136"/>
      <c r="I98" s="136"/>
      <c r="J98" s="136"/>
      <c r="K98" s="136"/>
      <c r="L98" s="136"/>
      <c r="M98" s="136"/>
      <c r="N98" s="136"/>
    </row>
    <row r="99" spans="1:14" ht="13.5" thickBot="1">
      <c r="A99" s="136"/>
      <c r="B99" s="10" t="s">
        <v>378</v>
      </c>
      <c r="C99" s="22"/>
      <c r="D99" s="14"/>
      <c r="E99" s="13">
        <v>0.0004</v>
      </c>
      <c r="F99" s="64">
        <f t="shared" si="1"/>
        <v>0</v>
      </c>
      <c r="G99" s="136"/>
      <c r="H99" s="136"/>
      <c r="I99" s="136"/>
      <c r="J99" s="136"/>
      <c r="K99" s="136"/>
      <c r="L99" s="136"/>
      <c r="M99" s="136"/>
      <c r="N99" s="136"/>
    </row>
    <row r="100" spans="1:14" ht="13.5" thickBot="1">
      <c r="A100" s="136"/>
      <c r="B100" s="10" t="s">
        <v>379</v>
      </c>
      <c r="C100" s="22"/>
      <c r="D100" s="14"/>
      <c r="E100" s="13">
        <v>0.0004</v>
      </c>
      <c r="F100" s="64">
        <f t="shared" si="1"/>
        <v>0</v>
      </c>
      <c r="G100" s="136"/>
      <c r="H100" s="136"/>
      <c r="I100" s="136"/>
      <c r="J100" s="136"/>
      <c r="K100" s="136"/>
      <c r="L100" s="136"/>
      <c r="M100" s="136"/>
      <c r="N100" s="136"/>
    </row>
    <row r="101" spans="1:14" ht="13.5" thickBot="1">
      <c r="A101" s="136"/>
      <c r="B101" s="136"/>
      <c r="C101" s="136"/>
      <c r="D101" s="136"/>
      <c r="E101" s="167" t="s">
        <v>54</v>
      </c>
      <c r="F101" s="25">
        <f>SUM(F63:F100)</f>
        <v>0</v>
      </c>
      <c r="G101" s="136"/>
      <c r="H101" s="136"/>
      <c r="I101" s="136"/>
      <c r="J101" s="136"/>
      <c r="K101" s="136"/>
      <c r="L101" s="136"/>
      <c r="M101" s="136"/>
      <c r="N101" s="136"/>
    </row>
    <row r="102" spans="1:14" ht="12.75">
      <c r="A102" s="136"/>
      <c r="B102" s="136"/>
      <c r="C102" s="136"/>
      <c r="D102" s="136"/>
      <c r="E102" s="167"/>
      <c r="F102" s="45"/>
      <c r="G102" s="136"/>
      <c r="H102" s="136"/>
      <c r="I102" s="136"/>
      <c r="J102" s="136"/>
      <c r="K102" s="136"/>
      <c r="L102" s="136"/>
      <c r="M102" s="136"/>
      <c r="N102" s="136"/>
    </row>
    <row r="103" spans="1:14" ht="31.5" customHeight="1" thickBot="1">
      <c r="A103" s="136"/>
      <c r="C103" s="54" t="s">
        <v>362</v>
      </c>
      <c r="D103" s="58" t="s">
        <v>361</v>
      </c>
      <c r="E103" s="8" t="s">
        <v>180</v>
      </c>
      <c r="F103" s="49" t="s">
        <v>30</v>
      </c>
      <c r="G103" s="136"/>
      <c r="H103" s="136"/>
      <c r="I103" s="136"/>
      <c r="J103" s="136"/>
      <c r="K103" s="136"/>
      <c r="L103" s="136"/>
      <c r="M103" s="136"/>
      <c r="N103" s="136"/>
    </row>
    <row r="104" spans="1:14" ht="18.75" customHeight="1" thickBot="1">
      <c r="A104" s="136"/>
      <c r="B104" s="105" t="s">
        <v>363</v>
      </c>
      <c r="C104" s="102" t="s">
        <v>380</v>
      </c>
      <c r="D104" s="59" t="s">
        <v>380</v>
      </c>
      <c r="E104" s="172"/>
      <c r="F104" s="50" t="s">
        <v>1</v>
      </c>
      <c r="G104" s="136"/>
      <c r="H104" s="136"/>
      <c r="I104" s="136"/>
      <c r="J104" s="136"/>
      <c r="K104" s="136"/>
      <c r="L104" s="136"/>
      <c r="M104" s="136"/>
      <c r="N104" s="136"/>
    </row>
    <row r="105" spans="1:14" ht="13.5" thickBot="1">
      <c r="A105" s="136"/>
      <c r="B105" s="173"/>
      <c r="C105" s="162"/>
      <c r="D105" s="136"/>
      <c r="E105" s="136"/>
      <c r="F105" s="136"/>
      <c r="G105" s="136"/>
      <c r="H105" s="136"/>
      <c r="I105" s="136"/>
      <c r="J105" s="136"/>
      <c r="K105" s="136"/>
      <c r="L105" s="136"/>
      <c r="M105" s="136"/>
      <c r="N105" s="136"/>
    </row>
    <row r="106" spans="1:14" ht="13.5" thickBot="1">
      <c r="A106" s="136"/>
      <c r="B106" s="10" t="s">
        <v>364</v>
      </c>
      <c r="C106" s="22"/>
      <c r="D106" s="17"/>
      <c r="E106" s="13">
        <v>0.005</v>
      </c>
      <c r="F106" s="63">
        <f>((3.1416*D106*D106*C106)/4)*E106</f>
        <v>0</v>
      </c>
      <c r="G106" s="136"/>
      <c r="H106" s="136"/>
      <c r="I106" s="136"/>
      <c r="J106" s="136"/>
      <c r="K106" s="136"/>
      <c r="L106" s="136"/>
      <c r="M106" s="136"/>
      <c r="N106" s="136"/>
    </row>
    <row r="107" spans="1:14" ht="13.5" thickBot="1">
      <c r="A107" s="136"/>
      <c r="B107" s="10" t="s">
        <v>365</v>
      </c>
      <c r="C107" s="22"/>
      <c r="D107" s="14"/>
      <c r="E107" s="13">
        <v>0.005</v>
      </c>
      <c r="F107" s="63">
        <f aca="true" t="shared" si="2" ref="F107:F125">((3.1416*D107*D107*C107)/4)*E107</f>
        <v>0</v>
      </c>
      <c r="G107" s="136"/>
      <c r="H107" s="136"/>
      <c r="I107" s="136"/>
      <c r="J107" s="136"/>
      <c r="K107" s="136"/>
      <c r="L107" s="136"/>
      <c r="M107" s="136"/>
      <c r="N107" s="136"/>
    </row>
    <row r="108" spans="1:14" ht="13.5" thickBot="1">
      <c r="A108" s="136"/>
      <c r="B108" s="10" t="s">
        <v>366</v>
      </c>
      <c r="C108" s="22"/>
      <c r="D108" s="19"/>
      <c r="E108" s="13">
        <v>0.005</v>
      </c>
      <c r="F108" s="63">
        <f t="shared" si="2"/>
        <v>0</v>
      </c>
      <c r="G108" s="136"/>
      <c r="H108" s="136"/>
      <c r="I108" s="136"/>
      <c r="J108" s="136"/>
      <c r="K108" s="136"/>
      <c r="L108" s="136"/>
      <c r="M108" s="136"/>
      <c r="N108" s="136"/>
    </row>
    <row r="109" spans="1:14" ht="13.5" thickBot="1">
      <c r="A109" s="136"/>
      <c r="B109" s="10" t="s">
        <v>367</v>
      </c>
      <c r="C109" s="22"/>
      <c r="D109" s="19"/>
      <c r="E109" s="13">
        <v>0.005</v>
      </c>
      <c r="F109" s="63">
        <f t="shared" si="2"/>
        <v>0</v>
      </c>
      <c r="G109" s="136"/>
      <c r="H109" s="136"/>
      <c r="I109" s="136"/>
      <c r="J109" s="136"/>
      <c r="K109" s="136"/>
      <c r="L109" s="136"/>
      <c r="M109" s="136"/>
      <c r="N109" s="136"/>
    </row>
    <row r="110" spans="1:14" ht="13.5" thickBot="1">
      <c r="A110" s="136"/>
      <c r="B110" s="10" t="s">
        <v>368</v>
      </c>
      <c r="C110" s="22"/>
      <c r="D110" s="19"/>
      <c r="E110" s="13">
        <v>0.005</v>
      </c>
      <c r="F110" s="63">
        <f t="shared" si="2"/>
        <v>0</v>
      </c>
      <c r="G110" s="136"/>
      <c r="H110" s="136"/>
      <c r="I110" s="136"/>
      <c r="J110" s="136"/>
      <c r="K110" s="136"/>
      <c r="L110" s="136"/>
      <c r="M110" s="136"/>
      <c r="N110" s="136"/>
    </row>
    <row r="111" spans="1:14" ht="13.5" thickBot="1">
      <c r="A111" s="136"/>
      <c r="B111" s="10" t="s">
        <v>369</v>
      </c>
      <c r="C111" s="22"/>
      <c r="D111" s="19"/>
      <c r="E111" s="13">
        <v>0.005</v>
      </c>
      <c r="F111" s="63">
        <f t="shared" si="2"/>
        <v>0</v>
      </c>
      <c r="G111" s="136"/>
      <c r="H111" s="136"/>
      <c r="I111" s="136"/>
      <c r="J111" s="136"/>
      <c r="K111" s="136"/>
      <c r="L111" s="136"/>
      <c r="M111" s="136"/>
      <c r="N111" s="136"/>
    </row>
    <row r="112" spans="1:14" ht="13.5" thickBot="1">
      <c r="A112" s="136"/>
      <c r="B112" s="10" t="s">
        <v>370</v>
      </c>
      <c r="C112" s="22"/>
      <c r="D112" s="19"/>
      <c r="E112" s="13">
        <v>0.005</v>
      </c>
      <c r="F112" s="63">
        <f t="shared" si="2"/>
        <v>0</v>
      </c>
      <c r="G112" s="136"/>
      <c r="H112" s="136"/>
      <c r="I112" s="136"/>
      <c r="J112" s="136"/>
      <c r="K112" s="136"/>
      <c r="L112" s="136"/>
      <c r="M112" s="136"/>
      <c r="N112" s="136"/>
    </row>
    <row r="113" spans="1:14" ht="13.5" thickBot="1">
      <c r="A113" s="136"/>
      <c r="B113" s="10" t="s">
        <v>371</v>
      </c>
      <c r="C113" s="22"/>
      <c r="D113" s="19"/>
      <c r="E113" s="13">
        <v>0.005</v>
      </c>
      <c r="F113" s="63">
        <f t="shared" si="2"/>
        <v>0</v>
      </c>
      <c r="G113" s="136"/>
      <c r="H113" s="136"/>
      <c r="I113" s="136"/>
      <c r="J113" s="136"/>
      <c r="K113" s="136"/>
      <c r="L113" s="136"/>
      <c r="M113" s="136"/>
      <c r="N113" s="136"/>
    </row>
    <row r="114" spans="1:14" ht="13.5" thickBot="1">
      <c r="A114" s="136"/>
      <c r="B114" s="10" t="s">
        <v>372</v>
      </c>
      <c r="C114" s="22"/>
      <c r="D114" s="19"/>
      <c r="E114" s="13">
        <v>0.005</v>
      </c>
      <c r="F114" s="63">
        <f t="shared" si="2"/>
        <v>0</v>
      </c>
      <c r="G114" s="136"/>
      <c r="H114" s="136"/>
      <c r="I114" s="136"/>
      <c r="J114" s="136"/>
      <c r="K114" s="136"/>
      <c r="L114" s="136"/>
      <c r="M114" s="136"/>
      <c r="N114" s="136"/>
    </row>
    <row r="115" spans="1:14" ht="13.5" thickBot="1">
      <c r="A115" s="136"/>
      <c r="B115" s="10" t="s">
        <v>373</v>
      </c>
      <c r="C115" s="22"/>
      <c r="D115" s="19"/>
      <c r="E115" s="13">
        <v>0.005</v>
      </c>
      <c r="F115" s="63">
        <f t="shared" si="2"/>
        <v>0</v>
      </c>
      <c r="G115" s="136"/>
      <c r="H115" s="136"/>
      <c r="I115" s="136"/>
      <c r="J115" s="136"/>
      <c r="K115" s="136"/>
      <c r="L115" s="136"/>
      <c r="M115" s="136"/>
      <c r="N115" s="136"/>
    </row>
    <row r="116" spans="1:14" ht="13.5" thickBot="1">
      <c r="A116" s="136"/>
      <c r="B116" s="10" t="s">
        <v>381</v>
      </c>
      <c r="C116" s="22"/>
      <c r="D116" s="19"/>
      <c r="E116" s="13">
        <v>0.005</v>
      </c>
      <c r="F116" s="63">
        <f t="shared" si="2"/>
        <v>0</v>
      </c>
      <c r="G116" s="136"/>
      <c r="H116" s="136"/>
      <c r="I116" s="136"/>
      <c r="J116" s="136"/>
      <c r="K116" s="136"/>
      <c r="L116" s="136"/>
      <c r="M116" s="136"/>
      <c r="N116" s="136"/>
    </row>
    <row r="117" spans="1:14" ht="13.5" thickBot="1">
      <c r="A117" s="136"/>
      <c r="B117" s="10" t="s">
        <v>382</v>
      </c>
      <c r="C117" s="22"/>
      <c r="D117" s="19"/>
      <c r="E117" s="13">
        <v>0.005</v>
      </c>
      <c r="F117" s="63">
        <f t="shared" si="2"/>
        <v>0</v>
      </c>
      <c r="G117" s="136"/>
      <c r="H117" s="136"/>
      <c r="I117" s="136"/>
      <c r="J117" s="136"/>
      <c r="K117" s="136"/>
      <c r="L117" s="136"/>
      <c r="M117" s="136"/>
      <c r="N117" s="136"/>
    </row>
    <row r="118" spans="1:14" ht="13.5" thickBot="1">
      <c r="A118" s="136"/>
      <c r="B118" s="10" t="s">
        <v>383</v>
      </c>
      <c r="C118" s="22"/>
      <c r="D118" s="19"/>
      <c r="E118" s="13">
        <v>0.005</v>
      </c>
      <c r="F118" s="63">
        <f t="shared" si="2"/>
        <v>0</v>
      </c>
      <c r="G118" s="136"/>
      <c r="H118" s="136"/>
      <c r="I118" s="136"/>
      <c r="J118" s="136"/>
      <c r="K118" s="136"/>
      <c r="L118" s="136"/>
      <c r="M118" s="136"/>
      <c r="N118" s="136"/>
    </row>
    <row r="119" spans="1:14" ht="13.5" thickBot="1">
      <c r="A119" s="136"/>
      <c r="B119" s="10" t="s">
        <v>384</v>
      </c>
      <c r="C119" s="22"/>
      <c r="D119" s="19"/>
      <c r="E119" s="13">
        <v>0.005</v>
      </c>
      <c r="F119" s="63">
        <f t="shared" si="2"/>
        <v>0</v>
      </c>
      <c r="G119" s="136"/>
      <c r="H119" s="136"/>
      <c r="I119" s="136"/>
      <c r="J119" s="136"/>
      <c r="K119" s="136"/>
      <c r="L119" s="136"/>
      <c r="M119" s="136"/>
      <c r="N119" s="136"/>
    </row>
    <row r="120" spans="1:14" ht="13.5" thickBot="1">
      <c r="A120" s="136"/>
      <c r="B120" s="10" t="s">
        <v>385</v>
      </c>
      <c r="C120" s="22"/>
      <c r="D120" s="19"/>
      <c r="E120" s="13">
        <v>0.005</v>
      </c>
      <c r="F120" s="63">
        <f t="shared" si="2"/>
        <v>0</v>
      </c>
      <c r="G120" s="136"/>
      <c r="H120" s="136"/>
      <c r="I120" s="136"/>
      <c r="J120" s="136"/>
      <c r="K120" s="136"/>
      <c r="L120" s="136"/>
      <c r="M120" s="136"/>
      <c r="N120" s="136"/>
    </row>
    <row r="121" spans="1:14" ht="13.5" thickBot="1">
      <c r="A121" s="136"/>
      <c r="B121" s="10" t="s">
        <v>386</v>
      </c>
      <c r="C121" s="22"/>
      <c r="D121" s="19"/>
      <c r="E121" s="13">
        <v>0.005</v>
      </c>
      <c r="F121" s="63">
        <f t="shared" si="2"/>
        <v>0</v>
      </c>
      <c r="G121" s="136"/>
      <c r="H121" s="136"/>
      <c r="I121" s="136"/>
      <c r="J121" s="136"/>
      <c r="K121" s="136"/>
      <c r="L121" s="136"/>
      <c r="M121" s="136"/>
      <c r="N121" s="136"/>
    </row>
    <row r="122" spans="1:14" ht="13.5" thickBot="1">
      <c r="A122" s="136"/>
      <c r="B122" s="10" t="s">
        <v>387</v>
      </c>
      <c r="C122" s="22"/>
      <c r="D122" s="19"/>
      <c r="E122" s="13">
        <v>0.005</v>
      </c>
      <c r="F122" s="63">
        <f t="shared" si="2"/>
        <v>0</v>
      </c>
      <c r="G122" s="136"/>
      <c r="H122" s="136"/>
      <c r="I122" s="136"/>
      <c r="J122" s="136"/>
      <c r="K122" s="136"/>
      <c r="L122" s="136"/>
      <c r="M122" s="136"/>
      <c r="N122" s="136"/>
    </row>
    <row r="123" spans="1:14" ht="13.5" thickBot="1">
      <c r="A123" s="136"/>
      <c r="B123" s="10" t="s">
        <v>388</v>
      </c>
      <c r="C123" s="22"/>
      <c r="D123" s="19"/>
      <c r="E123" s="13">
        <v>0.005</v>
      </c>
      <c r="F123" s="63">
        <f t="shared" si="2"/>
        <v>0</v>
      </c>
      <c r="G123" s="136"/>
      <c r="H123" s="136"/>
      <c r="I123" s="136"/>
      <c r="J123" s="136"/>
      <c r="K123" s="136"/>
      <c r="L123" s="136"/>
      <c r="M123" s="136"/>
      <c r="N123" s="136"/>
    </row>
    <row r="124" spans="1:14" ht="13.5" thickBot="1">
      <c r="A124" s="136"/>
      <c r="B124" s="10" t="s">
        <v>389</v>
      </c>
      <c r="C124" s="22"/>
      <c r="D124" s="19"/>
      <c r="E124" s="13">
        <v>0.005</v>
      </c>
      <c r="F124" s="63">
        <f t="shared" si="2"/>
        <v>0</v>
      </c>
      <c r="G124" s="136"/>
      <c r="H124" s="136"/>
      <c r="I124" s="136"/>
      <c r="J124" s="136"/>
      <c r="K124" s="136"/>
      <c r="L124" s="136"/>
      <c r="M124" s="136"/>
      <c r="N124" s="136"/>
    </row>
    <row r="125" spans="1:14" ht="13.5" thickBot="1">
      <c r="A125" s="136"/>
      <c r="B125" s="10" t="s">
        <v>390</v>
      </c>
      <c r="C125" s="22"/>
      <c r="D125" s="19"/>
      <c r="E125" s="13">
        <v>0.005</v>
      </c>
      <c r="F125" s="63">
        <f t="shared" si="2"/>
        <v>0</v>
      </c>
      <c r="G125" s="136"/>
      <c r="H125" s="136"/>
      <c r="I125" s="136"/>
      <c r="J125" s="136"/>
      <c r="K125" s="136"/>
      <c r="L125" s="136"/>
      <c r="M125" s="136"/>
      <c r="N125" s="136"/>
    </row>
    <row r="126" spans="1:14" ht="13.5" thickBot="1">
      <c r="A126" s="136"/>
      <c r="B126" s="136"/>
      <c r="C126" s="136"/>
      <c r="D126" s="136"/>
      <c r="E126" s="167" t="s">
        <v>54</v>
      </c>
      <c r="F126" s="25">
        <f>SUM(F106:F125)</f>
        <v>0</v>
      </c>
      <c r="G126" s="136"/>
      <c r="H126" s="136"/>
      <c r="I126" s="136"/>
      <c r="J126" s="136"/>
      <c r="K126" s="136"/>
      <c r="L126" s="136"/>
      <c r="M126" s="136"/>
      <c r="N126" s="136"/>
    </row>
    <row r="127" spans="1:14" ht="12.75">
      <c r="A127" s="136"/>
      <c r="B127" s="136"/>
      <c r="C127" s="136"/>
      <c r="D127" s="136"/>
      <c r="E127" s="136"/>
      <c r="G127" s="136"/>
      <c r="H127" s="136"/>
      <c r="I127" s="136"/>
      <c r="J127" s="136"/>
      <c r="K127" s="136"/>
      <c r="L127" s="136"/>
      <c r="M127" s="136"/>
      <c r="N127" s="136"/>
    </row>
    <row r="128" spans="1:14" ht="31.5" customHeight="1" thickBot="1">
      <c r="A128" s="136"/>
      <c r="C128" s="242" t="s">
        <v>64</v>
      </c>
      <c r="D128" s="58" t="s">
        <v>55</v>
      </c>
      <c r="E128" s="8" t="s">
        <v>180</v>
      </c>
      <c r="F128" s="49" t="s">
        <v>30</v>
      </c>
      <c r="G128" s="136"/>
      <c r="H128" s="136"/>
      <c r="I128" s="136"/>
      <c r="J128" s="136"/>
      <c r="K128" s="136"/>
      <c r="L128" s="136"/>
      <c r="M128" s="136"/>
      <c r="N128" s="136"/>
    </row>
    <row r="129" spans="1:14" ht="18.75" customHeight="1" thickBot="1">
      <c r="A129" s="136"/>
      <c r="B129" s="31" t="s">
        <v>68</v>
      </c>
      <c r="C129" s="244"/>
      <c r="D129" s="59" t="s">
        <v>43</v>
      </c>
      <c r="E129" s="136"/>
      <c r="F129" s="50" t="s">
        <v>1</v>
      </c>
      <c r="G129" s="136"/>
      <c r="H129" s="136"/>
      <c r="I129" s="136"/>
      <c r="J129" s="136"/>
      <c r="K129" s="136"/>
      <c r="L129" s="136"/>
      <c r="M129" s="136"/>
      <c r="N129" s="136"/>
    </row>
    <row r="130" spans="1:14" ht="31.5" customHeight="1" thickBot="1">
      <c r="A130" s="136"/>
      <c r="B130" s="136"/>
      <c r="C130" s="172"/>
      <c r="D130" s="136"/>
      <c r="E130" s="136"/>
      <c r="F130" s="136"/>
      <c r="G130" s="136"/>
      <c r="H130" s="136"/>
      <c r="I130" s="136"/>
      <c r="J130" s="136"/>
      <c r="K130" s="136"/>
      <c r="L130" s="136"/>
      <c r="M130" s="136"/>
      <c r="N130" s="136"/>
    </row>
    <row r="131" spans="1:14" ht="13.5" thickBot="1">
      <c r="A131" s="136"/>
      <c r="B131" s="10" t="s">
        <v>60</v>
      </c>
      <c r="C131" s="22"/>
      <c r="D131" s="17"/>
      <c r="E131" s="13">
        <v>0.016</v>
      </c>
      <c r="F131" s="63">
        <f>C131*D131*E131</f>
        <v>0</v>
      </c>
      <c r="G131" s="136"/>
      <c r="H131" s="136"/>
      <c r="I131" s="136"/>
      <c r="J131" s="136"/>
      <c r="K131" s="136"/>
      <c r="L131" s="136"/>
      <c r="M131" s="136"/>
      <c r="N131" s="136"/>
    </row>
    <row r="132" spans="1:14" ht="13.5" thickBot="1">
      <c r="A132" s="136"/>
      <c r="B132" s="10" t="s">
        <v>61</v>
      </c>
      <c r="C132" s="22"/>
      <c r="D132" s="14"/>
      <c r="E132" s="13">
        <v>0.016</v>
      </c>
      <c r="F132" s="63">
        <f aca="true" t="shared" si="3" ref="F132:F139">C132*D132*E132</f>
        <v>0</v>
      </c>
      <c r="G132" s="136"/>
      <c r="H132" s="136"/>
      <c r="I132" s="136"/>
      <c r="J132" s="136"/>
      <c r="K132" s="136"/>
      <c r="L132" s="136"/>
      <c r="M132" s="136"/>
      <c r="N132" s="136"/>
    </row>
    <row r="133" spans="1:14" ht="13.5" thickBot="1">
      <c r="A133" s="136"/>
      <c r="B133" s="10" t="s">
        <v>62</v>
      </c>
      <c r="C133" s="26"/>
      <c r="D133" s="18"/>
      <c r="E133" s="13">
        <v>0.02</v>
      </c>
      <c r="F133" s="63">
        <f t="shared" si="3"/>
        <v>0</v>
      </c>
      <c r="G133" s="136"/>
      <c r="H133" s="136"/>
      <c r="I133" s="136"/>
      <c r="J133" s="136"/>
      <c r="K133" s="136"/>
      <c r="L133" s="136"/>
      <c r="M133" s="136"/>
      <c r="N133" s="136"/>
    </row>
    <row r="134" spans="1:14" ht="13.5" thickBot="1">
      <c r="A134" s="136"/>
      <c r="B134" s="10" t="s">
        <v>56</v>
      </c>
      <c r="C134" s="22"/>
      <c r="D134" s="14"/>
      <c r="E134" s="13">
        <v>0.018</v>
      </c>
      <c r="F134" s="63">
        <f t="shared" si="3"/>
        <v>0</v>
      </c>
      <c r="G134" s="136"/>
      <c r="H134" s="136"/>
      <c r="I134" s="136"/>
      <c r="J134" s="136"/>
      <c r="K134" s="136"/>
      <c r="L134" s="136"/>
      <c r="M134" s="136"/>
      <c r="N134" s="136"/>
    </row>
    <row r="135" spans="1:14" ht="13.5" thickBot="1">
      <c r="A135" s="136"/>
      <c r="B135" s="10" t="s">
        <v>57</v>
      </c>
      <c r="C135" s="26"/>
      <c r="D135" s="18"/>
      <c r="E135" s="13">
        <v>0.018</v>
      </c>
      <c r="F135" s="63">
        <f t="shared" si="3"/>
        <v>0</v>
      </c>
      <c r="G135" s="136"/>
      <c r="H135" s="136"/>
      <c r="I135" s="136"/>
      <c r="J135" s="136"/>
      <c r="K135" s="136"/>
      <c r="L135" s="136"/>
      <c r="M135" s="136"/>
      <c r="N135" s="136"/>
    </row>
    <row r="136" spans="1:14" ht="13.5" thickBot="1">
      <c r="A136" s="136"/>
      <c r="B136" s="10" t="s">
        <v>58</v>
      </c>
      <c r="C136" s="22"/>
      <c r="D136" s="14"/>
      <c r="E136" s="13">
        <v>0.018</v>
      </c>
      <c r="F136" s="63">
        <f t="shared" si="3"/>
        <v>0</v>
      </c>
      <c r="G136" s="136"/>
      <c r="H136" s="136"/>
      <c r="I136" s="136"/>
      <c r="J136" s="136"/>
      <c r="K136" s="136"/>
      <c r="L136" s="136"/>
      <c r="M136" s="136"/>
      <c r="N136" s="136"/>
    </row>
    <row r="137" spans="1:14" ht="13.5" thickBot="1">
      <c r="A137" s="136"/>
      <c r="B137" s="10" t="s">
        <v>65</v>
      </c>
      <c r="C137" s="26"/>
      <c r="D137" s="18"/>
      <c r="E137" s="13">
        <v>0.02</v>
      </c>
      <c r="F137" s="63">
        <f t="shared" si="3"/>
        <v>0</v>
      </c>
      <c r="G137" s="136"/>
      <c r="H137" s="136"/>
      <c r="I137" s="136"/>
      <c r="J137" s="136"/>
      <c r="K137" s="136"/>
      <c r="L137" s="136"/>
      <c r="M137" s="136"/>
      <c r="N137" s="136"/>
    </row>
    <row r="138" spans="1:14" ht="13.5" thickBot="1">
      <c r="A138" s="136"/>
      <c r="B138" s="10" t="s">
        <v>66</v>
      </c>
      <c r="C138" s="22"/>
      <c r="D138" s="14"/>
      <c r="E138" s="13">
        <v>0.016</v>
      </c>
      <c r="F138" s="63">
        <f t="shared" si="3"/>
        <v>0</v>
      </c>
      <c r="G138" s="136"/>
      <c r="H138" s="136"/>
      <c r="I138" s="136"/>
      <c r="J138" s="136"/>
      <c r="K138" s="136"/>
      <c r="L138" s="136"/>
      <c r="M138" s="136"/>
      <c r="N138" s="136"/>
    </row>
    <row r="139" spans="1:14" ht="13.5" thickBot="1">
      <c r="A139" s="136"/>
      <c r="B139" s="10" t="s">
        <v>59</v>
      </c>
      <c r="C139" s="27"/>
      <c r="D139" s="19"/>
      <c r="E139" s="13">
        <v>0.04</v>
      </c>
      <c r="F139" s="64">
        <f t="shared" si="3"/>
        <v>0</v>
      </c>
      <c r="G139" s="136"/>
      <c r="H139" s="136"/>
      <c r="I139" s="136"/>
      <c r="J139" s="136"/>
      <c r="K139" s="136"/>
      <c r="L139" s="136"/>
      <c r="M139" s="136"/>
      <c r="N139" s="136"/>
    </row>
    <row r="140" spans="1:14" ht="13.5" thickBot="1">
      <c r="A140" s="136"/>
      <c r="B140" s="136"/>
      <c r="C140" s="136"/>
      <c r="D140" s="136"/>
      <c r="E140" s="167" t="s">
        <v>54</v>
      </c>
      <c r="F140" s="25">
        <f>SUM(F131:F139)</f>
        <v>0</v>
      </c>
      <c r="G140" s="136"/>
      <c r="H140" s="136"/>
      <c r="I140" s="136"/>
      <c r="J140" s="136"/>
      <c r="K140" s="136"/>
      <c r="L140" s="136"/>
      <c r="M140" s="136"/>
      <c r="N140" s="136"/>
    </row>
    <row r="141" spans="1:14" ht="13.5" thickBot="1">
      <c r="A141" s="136"/>
      <c r="B141" s="136"/>
      <c r="C141" s="136"/>
      <c r="D141" s="136"/>
      <c r="E141" s="136"/>
      <c r="G141" s="136"/>
      <c r="H141" s="136"/>
      <c r="I141" s="136"/>
      <c r="J141" s="136"/>
      <c r="K141" s="136"/>
      <c r="L141" s="136"/>
      <c r="M141" s="136"/>
      <c r="N141" s="136"/>
    </row>
    <row r="142" spans="1:14" ht="31.5" customHeight="1">
      <c r="A142" s="136"/>
      <c r="B142" s="136"/>
      <c r="C142" s="136"/>
      <c r="D142" s="136"/>
      <c r="E142" s="136"/>
      <c r="F142" s="90" t="s">
        <v>30</v>
      </c>
      <c r="G142" s="136"/>
      <c r="H142" s="136"/>
      <c r="I142" s="136"/>
      <c r="J142" s="136"/>
      <c r="K142" s="136"/>
      <c r="L142" s="136"/>
      <c r="M142" s="136"/>
      <c r="N142" s="136"/>
    </row>
    <row r="143" spans="1:14" ht="18.75" customHeight="1" thickBot="1">
      <c r="A143" s="136"/>
      <c r="B143" s="136"/>
      <c r="C143" s="136"/>
      <c r="D143" s="136"/>
      <c r="E143" s="136"/>
      <c r="F143" s="91" t="s">
        <v>67</v>
      </c>
      <c r="G143" s="136"/>
      <c r="H143" s="136"/>
      <c r="I143" s="136"/>
      <c r="J143" s="136"/>
      <c r="K143" s="136"/>
      <c r="L143" s="136"/>
      <c r="M143" s="136"/>
      <c r="N143" s="136"/>
    </row>
    <row r="144" spans="1:14" ht="13.5" thickBot="1">
      <c r="A144" s="136"/>
      <c r="B144" s="136"/>
      <c r="C144" s="136"/>
      <c r="D144" s="136"/>
      <c r="E144" s="171" t="s">
        <v>54</v>
      </c>
      <c r="F144" s="5">
        <f>F140+F58+F52+F44+F10+F101+F126+F27+F36</f>
        <v>0</v>
      </c>
      <c r="G144" s="136"/>
      <c r="H144" s="136"/>
      <c r="I144" s="136"/>
      <c r="J144" s="136"/>
      <c r="K144" s="136"/>
      <c r="L144" s="136"/>
      <c r="M144" s="136"/>
      <c r="N144" s="136"/>
    </row>
    <row r="145" spans="1:14" ht="13.5" thickBot="1">
      <c r="A145" s="136"/>
      <c r="B145" s="136"/>
      <c r="C145" s="136"/>
      <c r="D145" s="136"/>
      <c r="E145" s="136"/>
      <c r="F145" s="53" t="s">
        <v>1</v>
      </c>
      <c r="G145" s="136"/>
      <c r="H145" s="136"/>
      <c r="I145" s="136"/>
      <c r="J145" s="136"/>
      <c r="K145" s="136"/>
      <c r="L145" s="136"/>
      <c r="M145" s="136"/>
      <c r="N145" s="136"/>
    </row>
    <row r="146" spans="1:14" ht="13.5" thickBot="1">
      <c r="A146" s="136"/>
      <c r="B146" s="136"/>
      <c r="C146" s="136"/>
      <c r="D146" s="136"/>
      <c r="E146" s="136"/>
      <c r="F146" s="136"/>
      <c r="G146" s="136"/>
      <c r="H146" s="136"/>
      <c r="I146" s="136"/>
      <c r="J146" s="136"/>
      <c r="K146" s="136"/>
      <c r="L146" s="136"/>
      <c r="M146" s="136"/>
      <c r="N146" s="136"/>
    </row>
    <row r="147" spans="1:14" ht="18.75" customHeight="1" thickBot="1">
      <c r="A147" s="136"/>
      <c r="B147" s="239" t="s">
        <v>259</v>
      </c>
      <c r="C147" s="240"/>
      <c r="D147" s="241"/>
      <c r="E147" s="136"/>
      <c r="F147" s="136"/>
      <c r="G147" s="136"/>
      <c r="H147" s="136"/>
      <c r="I147" s="136"/>
      <c r="J147" s="136"/>
      <c r="K147" s="136"/>
      <c r="L147" s="136"/>
      <c r="M147" s="136"/>
      <c r="N147" s="136"/>
    </row>
    <row r="148" spans="1:14" ht="18.75" customHeight="1" thickBot="1">
      <c r="A148" s="136"/>
      <c r="B148" s="212" t="s">
        <v>260</v>
      </c>
      <c r="C148" s="212"/>
      <c r="D148" s="212"/>
      <c r="E148" s="136"/>
      <c r="F148" s="136"/>
      <c r="G148" s="136"/>
      <c r="H148" s="136"/>
      <c r="I148" s="136"/>
      <c r="J148" s="136"/>
      <c r="K148" s="136"/>
      <c r="L148" s="136"/>
      <c r="M148" s="136"/>
      <c r="N148" s="136"/>
    </row>
    <row r="149" spans="1:14" ht="15.75" customHeight="1" thickBot="1">
      <c r="A149" s="136"/>
      <c r="B149" s="231" t="s">
        <v>261</v>
      </c>
      <c r="C149" s="232"/>
      <c r="D149" s="233"/>
      <c r="E149" s="136"/>
      <c r="F149" s="136"/>
      <c r="G149" s="136"/>
      <c r="H149" s="136"/>
      <c r="I149" s="136"/>
      <c r="J149" s="136"/>
      <c r="K149" s="136"/>
      <c r="L149" s="136"/>
      <c r="M149" s="136"/>
      <c r="N149" s="136"/>
    </row>
    <row r="150" spans="1:14" ht="12.75">
      <c r="A150" s="136"/>
      <c r="B150" s="136"/>
      <c r="C150" s="136"/>
      <c r="D150" s="136"/>
      <c r="E150" s="136"/>
      <c r="F150" s="136"/>
      <c r="G150" s="136"/>
      <c r="H150" s="136"/>
      <c r="I150" s="136"/>
      <c r="J150" s="136"/>
      <c r="K150" s="136"/>
      <c r="L150" s="136"/>
      <c r="M150" s="136"/>
      <c r="N150" s="136"/>
    </row>
    <row r="151" spans="1:14" ht="18.75" customHeight="1">
      <c r="A151" s="149"/>
      <c r="B151" s="245" t="s">
        <v>313</v>
      </c>
      <c r="C151" s="246"/>
      <c r="D151" s="246"/>
      <c r="E151" s="136"/>
      <c r="F151" s="136"/>
      <c r="G151" s="136"/>
      <c r="H151" s="136"/>
      <c r="I151" s="136"/>
      <c r="J151" s="136"/>
      <c r="K151" s="136"/>
      <c r="L151" s="136"/>
      <c r="M151" s="136"/>
      <c r="N151" s="136"/>
    </row>
    <row r="152" spans="1:14" ht="19.5" customHeight="1">
      <c r="A152" s="149"/>
      <c r="B152" s="173" t="s">
        <v>345</v>
      </c>
      <c r="C152" s="136"/>
      <c r="D152" s="136"/>
      <c r="E152" s="136"/>
      <c r="F152" s="136"/>
      <c r="G152" s="136"/>
      <c r="H152" s="136"/>
      <c r="I152" s="136"/>
      <c r="J152" s="136"/>
      <c r="K152" s="136"/>
      <c r="L152" s="136"/>
      <c r="M152" s="136"/>
      <c r="N152" s="136"/>
    </row>
    <row r="153" spans="1:14" ht="12.75">
      <c r="A153" s="149"/>
      <c r="B153" s="119" t="s">
        <v>314</v>
      </c>
      <c r="C153" s="234">
        <v>68.6</v>
      </c>
      <c r="D153" s="234"/>
      <c r="E153" s="136"/>
      <c r="F153" s="136"/>
      <c r="G153" s="136"/>
      <c r="H153" s="136"/>
      <c r="I153" s="136"/>
      <c r="J153" s="136"/>
      <c r="K153" s="136"/>
      <c r="L153" s="136"/>
      <c r="M153" s="136"/>
      <c r="N153" s="136"/>
    </row>
    <row r="154" spans="1:14" ht="12.75">
      <c r="A154" s="136"/>
      <c r="B154" s="6" t="s">
        <v>315</v>
      </c>
      <c r="C154" s="234">
        <v>11.4</v>
      </c>
      <c r="D154" s="234"/>
      <c r="E154" s="136"/>
      <c r="F154" s="136"/>
      <c r="G154" s="136"/>
      <c r="H154" s="136"/>
      <c r="I154" s="136"/>
      <c r="J154" s="136"/>
      <c r="K154" s="136"/>
      <c r="L154" s="136"/>
      <c r="M154" s="136"/>
      <c r="N154" s="136"/>
    </row>
    <row r="155" spans="1:14" ht="12.75">
      <c r="A155" s="136"/>
      <c r="B155" s="6" t="s">
        <v>316</v>
      </c>
      <c r="C155" s="234">
        <v>7.5</v>
      </c>
      <c r="D155" s="234"/>
      <c r="E155" s="136"/>
      <c r="F155" s="136"/>
      <c r="G155" s="136"/>
      <c r="H155" s="136"/>
      <c r="I155" s="136"/>
      <c r="J155" s="136"/>
      <c r="K155" s="136"/>
      <c r="L155" s="136"/>
      <c r="M155" s="136"/>
      <c r="N155" s="136"/>
    </row>
    <row r="156" spans="1:14" ht="12.75">
      <c r="A156" s="136"/>
      <c r="B156" s="6" t="s">
        <v>317</v>
      </c>
      <c r="C156" s="234">
        <v>17.4</v>
      </c>
      <c r="D156" s="234"/>
      <c r="E156" s="136"/>
      <c r="F156" s="136"/>
      <c r="G156" s="136"/>
      <c r="H156" s="136"/>
      <c r="I156" s="136"/>
      <c r="J156" s="136"/>
      <c r="K156" s="136"/>
      <c r="L156" s="136"/>
      <c r="M156" s="136"/>
      <c r="N156" s="136"/>
    </row>
    <row r="157" spans="1:14" ht="12.75">
      <c r="A157" s="136"/>
      <c r="B157" s="6" t="s">
        <v>318</v>
      </c>
      <c r="C157" s="234">
        <v>18.2</v>
      </c>
      <c r="D157" s="234"/>
      <c r="E157" s="136"/>
      <c r="F157" s="136"/>
      <c r="G157" s="136"/>
      <c r="H157" s="136"/>
      <c r="I157" s="136"/>
      <c r="J157" s="136"/>
      <c r="K157" s="136"/>
      <c r="L157" s="136"/>
      <c r="M157" s="136"/>
      <c r="N157" s="136"/>
    </row>
    <row r="158" spans="1:14" ht="12.75">
      <c r="A158" s="136"/>
      <c r="B158" s="6" t="s">
        <v>319</v>
      </c>
      <c r="C158" s="234">
        <v>48</v>
      </c>
      <c r="D158" s="234"/>
      <c r="E158" s="136"/>
      <c r="F158" s="136"/>
      <c r="G158" s="136"/>
      <c r="H158" s="136"/>
      <c r="I158" s="136"/>
      <c r="J158" s="136"/>
      <c r="K158" s="136"/>
      <c r="L158" s="136"/>
      <c r="M158" s="136"/>
      <c r="N158" s="136"/>
    </row>
    <row r="159" spans="1:14" ht="13.5" thickBot="1">
      <c r="A159" s="136"/>
      <c r="B159" s="6" t="s">
        <v>320</v>
      </c>
      <c r="C159" s="235">
        <v>14.8</v>
      </c>
      <c r="D159" s="235"/>
      <c r="E159" s="136"/>
      <c r="F159" s="136"/>
      <c r="G159" s="136"/>
      <c r="H159" s="136"/>
      <c r="I159" s="136"/>
      <c r="J159" s="136"/>
      <c r="K159" s="136"/>
      <c r="L159" s="136"/>
      <c r="M159" s="136"/>
      <c r="N159" s="136"/>
    </row>
    <row r="160" spans="1:14" ht="13.5" thickBot="1">
      <c r="A160" s="136"/>
      <c r="B160" s="109" t="s">
        <v>54</v>
      </c>
      <c r="C160" s="236">
        <f>SUM(C153:C159)</f>
        <v>185.90000000000003</v>
      </c>
      <c r="D160" s="237"/>
      <c r="E160" s="136"/>
      <c r="F160" s="136"/>
      <c r="G160" s="136"/>
      <c r="H160" s="136"/>
      <c r="I160" s="136"/>
      <c r="J160" s="136"/>
      <c r="K160" s="136"/>
      <c r="L160" s="136"/>
      <c r="M160" s="136"/>
      <c r="N160" s="136"/>
    </row>
    <row r="161" spans="1:14" ht="12.75">
      <c r="A161" s="136"/>
      <c r="B161" s="136"/>
      <c r="C161" s="238" t="s">
        <v>1</v>
      </c>
      <c r="D161" s="238"/>
      <c r="E161" s="136"/>
      <c r="F161" s="136"/>
      <c r="G161" s="136"/>
      <c r="H161" s="136"/>
      <c r="I161" s="136"/>
      <c r="J161" s="136"/>
      <c r="K161" s="136"/>
      <c r="L161" s="136"/>
      <c r="M161" s="136"/>
      <c r="N161" s="136"/>
    </row>
    <row r="162" spans="1:14" ht="13.5" thickBot="1">
      <c r="A162" s="136"/>
      <c r="B162" s="136"/>
      <c r="C162" s="136"/>
      <c r="D162" s="136"/>
      <c r="E162" s="136"/>
      <c r="F162" s="136"/>
      <c r="G162" s="136"/>
      <c r="H162" s="136"/>
      <c r="I162" s="136"/>
      <c r="J162" s="136"/>
      <c r="K162" s="136"/>
      <c r="L162" s="136"/>
      <c r="M162" s="136"/>
      <c r="N162" s="136"/>
    </row>
    <row r="163" spans="1:14" ht="18.75" customHeight="1" thickBot="1">
      <c r="A163" s="136"/>
      <c r="B163" s="239" t="s">
        <v>321</v>
      </c>
      <c r="C163" s="240"/>
      <c r="D163" s="241"/>
      <c r="E163" s="136"/>
      <c r="F163" s="136"/>
      <c r="G163" s="136"/>
      <c r="H163" s="136"/>
      <c r="I163" s="136"/>
      <c r="J163" s="136"/>
      <c r="K163" s="136"/>
      <c r="L163" s="136"/>
      <c r="M163" s="136"/>
      <c r="N163" s="136"/>
    </row>
    <row r="164" spans="1:14" ht="12.75">
      <c r="A164" s="136"/>
      <c r="B164" s="173"/>
      <c r="C164" s="136"/>
      <c r="D164" s="136"/>
      <c r="E164" s="136"/>
      <c r="F164" s="136"/>
      <c r="G164" s="136"/>
      <c r="H164" s="136"/>
      <c r="I164" s="136"/>
      <c r="J164" s="136"/>
      <c r="K164" s="136"/>
      <c r="L164" s="136"/>
      <c r="M164" s="136"/>
      <c r="N164" s="136"/>
    </row>
    <row r="165" spans="1:14" ht="12.75">
      <c r="A165" s="136"/>
      <c r="B165" s="119" t="s">
        <v>314</v>
      </c>
      <c r="C165" s="234">
        <v>68.6</v>
      </c>
      <c r="D165" s="234"/>
      <c r="E165" s="136"/>
      <c r="F165" s="136"/>
      <c r="G165" s="136"/>
      <c r="H165" s="136"/>
      <c r="I165" s="136"/>
      <c r="J165" s="136"/>
      <c r="K165" s="136"/>
      <c r="L165" s="136"/>
      <c r="M165" s="136"/>
      <c r="N165" s="136"/>
    </row>
    <row r="166" spans="1:14" ht="12.75">
      <c r="A166" s="136"/>
      <c r="B166" s="6" t="s">
        <v>315</v>
      </c>
      <c r="C166" s="234">
        <v>11.4</v>
      </c>
      <c r="D166" s="234"/>
      <c r="E166" s="136"/>
      <c r="F166" s="136"/>
      <c r="G166" s="136"/>
      <c r="H166" s="136"/>
      <c r="I166" s="136"/>
      <c r="J166" s="136"/>
      <c r="K166" s="136"/>
      <c r="L166" s="136"/>
      <c r="M166" s="136"/>
      <c r="N166" s="136"/>
    </row>
    <row r="167" spans="1:14" ht="12.75">
      <c r="A167" s="136"/>
      <c r="B167" s="6" t="s">
        <v>322</v>
      </c>
      <c r="C167" s="234">
        <v>184.3</v>
      </c>
      <c r="D167" s="234"/>
      <c r="E167" s="136"/>
      <c r="F167" s="136"/>
      <c r="G167" s="136"/>
      <c r="H167" s="136"/>
      <c r="I167" s="136"/>
      <c r="J167" s="136"/>
      <c r="K167" s="136"/>
      <c r="L167" s="136"/>
      <c r="M167" s="136"/>
      <c r="N167" s="136"/>
    </row>
    <row r="168" spans="1:14" ht="12.75">
      <c r="A168" s="136"/>
      <c r="B168" s="6" t="s">
        <v>317</v>
      </c>
      <c r="C168" s="234">
        <v>17.4</v>
      </c>
      <c r="D168" s="234"/>
      <c r="E168" s="136"/>
      <c r="F168" s="136"/>
      <c r="G168" s="136"/>
      <c r="H168" s="136"/>
      <c r="I168" s="136"/>
      <c r="J168" s="136"/>
      <c r="K168" s="136"/>
      <c r="L168" s="136"/>
      <c r="M168" s="136"/>
      <c r="N168" s="136"/>
    </row>
    <row r="169" spans="1:14" ht="12.75">
      <c r="A169" s="136"/>
      <c r="B169" s="6" t="s">
        <v>319</v>
      </c>
      <c r="C169" s="234">
        <v>48</v>
      </c>
      <c r="D169" s="234"/>
      <c r="E169" s="136"/>
      <c r="F169" s="136"/>
      <c r="G169" s="136"/>
      <c r="H169" s="136"/>
      <c r="I169" s="136"/>
      <c r="J169" s="136"/>
      <c r="K169" s="136"/>
      <c r="L169" s="136"/>
      <c r="M169" s="136"/>
      <c r="N169" s="136"/>
    </row>
    <row r="170" spans="1:14" ht="13.5" thickBot="1">
      <c r="A170" s="136"/>
      <c r="B170" s="6" t="s">
        <v>320</v>
      </c>
      <c r="C170" s="235">
        <v>14.8</v>
      </c>
      <c r="D170" s="235"/>
      <c r="E170" s="136"/>
      <c r="F170" s="136"/>
      <c r="G170" s="136"/>
      <c r="H170" s="136"/>
      <c r="I170" s="136"/>
      <c r="J170" s="136"/>
      <c r="K170" s="136"/>
      <c r="L170" s="136"/>
      <c r="M170" s="136"/>
      <c r="N170" s="136"/>
    </row>
    <row r="171" spans="1:14" ht="13.5" thickBot="1">
      <c r="A171" s="136"/>
      <c r="B171" s="171" t="s">
        <v>54</v>
      </c>
      <c r="C171" s="236">
        <f>SUM(C165:C170)</f>
        <v>344.5</v>
      </c>
      <c r="D171" s="237"/>
      <c r="E171" s="136"/>
      <c r="F171" s="136"/>
      <c r="G171" s="136"/>
      <c r="H171" s="136"/>
      <c r="I171" s="136"/>
      <c r="J171" s="136"/>
      <c r="K171" s="136"/>
      <c r="L171" s="136"/>
      <c r="M171" s="136"/>
      <c r="N171" s="136"/>
    </row>
    <row r="172" spans="1:14" ht="12.75">
      <c r="A172" s="136"/>
      <c r="B172" s="136"/>
      <c r="C172" s="238" t="s">
        <v>1</v>
      </c>
      <c r="D172" s="238"/>
      <c r="E172" s="136"/>
      <c r="F172" s="136"/>
      <c r="G172" s="136"/>
      <c r="H172" s="136"/>
      <c r="I172" s="136"/>
      <c r="J172" s="136"/>
      <c r="K172" s="136"/>
      <c r="L172" s="136"/>
      <c r="M172" s="136"/>
      <c r="N172" s="136"/>
    </row>
    <row r="173" spans="1:14" ht="12.75">
      <c r="A173" s="136"/>
      <c r="B173" s="136"/>
      <c r="C173" s="136"/>
      <c r="D173" s="136"/>
      <c r="E173" s="136"/>
      <c r="F173" s="136"/>
      <c r="G173" s="136"/>
      <c r="H173" s="136"/>
      <c r="I173" s="136"/>
      <c r="J173" s="136"/>
      <c r="K173" s="136"/>
      <c r="L173" s="136"/>
      <c r="M173" s="136"/>
      <c r="N173" s="136"/>
    </row>
    <row r="174" spans="1:14" ht="12.75">
      <c r="A174" s="136"/>
      <c r="B174" s="136"/>
      <c r="C174" s="136"/>
      <c r="D174" s="136"/>
      <c r="E174" s="136"/>
      <c r="F174" s="136"/>
      <c r="G174" s="136"/>
      <c r="H174" s="136"/>
      <c r="I174" s="136"/>
      <c r="J174" s="136"/>
      <c r="K174" s="136"/>
      <c r="L174" s="136"/>
      <c r="M174" s="136"/>
      <c r="N174" s="136"/>
    </row>
    <row r="175" spans="1:14" ht="12.75">
      <c r="A175" s="136"/>
      <c r="B175" s="136"/>
      <c r="C175" s="136"/>
      <c r="D175" s="136"/>
      <c r="E175" s="136"/>
      <c r="F175" s="136"/>
      <c r="G175" s="136"/>
      <c r="H175" s="136"/>
      <c r="I175" s="136"/>
      <c r="J175" s="136"/>
      <c r="K175" s="136"/>
      <c r="L175" s="136"/>
      <c r="M175" s="136"/>
      <c r="N175" s="136"/>
    </row>
    <row r="176" spans="1:14" ht="12.75">
      <c r="A176" s="136"/>
      <c r="B176" s="136"/>
      <c r="C176" s="136"/>
      <c r="D176" s="136"/>
      <c r="E176" s="136"/>
      <c r="F176" s="136"/>
      <c r="G176" s="136"/>
      <c r="H176" s="136"/>
      <c r="I176" s="136"/>
      <c r="J176" s="136"/>
      <c r="K176" s="136"/>
      <c r="L176" s="136"/>
      <c r="M176" s="136"/>
      <c r="N176" s="136"/>
    </row>
    <row r="177" spans="1:14" ht="12.75">
      <c r="A177" s="136"/>
      <c r="B177" s="136"/>
      <c r="C177" s="136"/>
      <c r="D177" s="136"/>
      <c r="E177" s="136"/>
      <c r="F177" s="136"/>
      <c r="G177" s="136"/>
      <c r="H177" s="136"/>
      <c r="I177" s="136"/>
      <c r="J177" s="136"/>
      <c r="K177" s="136"/>
      <c r="L177" s="136"/>
      <c r="M177" s="136"/>
      <c r="N177" s="136"/>
    </row>
    <row r="178" spans="1:14" ht="12.75">
      <c r="A178" s="136"/>
      <c r="B178" s="136"/>
      <c r="C178" s="136"/>
      <c r="D178" s="136"/>
      <c r="E178" s="136"/>
      <c r="F178" s="136"/>
      <c r="G178" s="136"/>
      <c r="H178" s="136"/>
      <c r="I178" s="136"/>
      <c r="J178" s="136"/>
      <c r="K178" s="136"/>
      <c r="L178" s="136"/>
      <c r="M178" s="136"/>
      <c r="N178" s="136"/>
    </row>
    <row r="179" spans="1:14" ht="12.75">
      <c r="A179" s="136"/>
      <c r="B179" s="136"/>
      <c r="C179" s="136"/>
      <c r="D179" s="136"/>
      <c r="E179" s="136"/>
      <c r="F179" s="136"/>
      <c r="G179" s="136"/>
      <c r="H179" s="136"/>
      <c r="I179" s="136"/>
      <c r="J179" s="136"/>
      <c r="K179" s="136"/>
      <c r="L179" s="136"/>
      <c r="M179" s="136"/>
      <c r="N179" s="136"/>
    </row>
    <row r="180" spans="1:14" ht="12.75">
      <c r="A180" s="136"/>
      <c r="B180" s="136"/>
      <c r="C180" s="136"/>
      <c r="D180" s="136"/>
      <c r="E180" s="136"/>
      <c r="F180" s="136"/>
      <c r="G180" s="136"/>
      <c r="H180" s="136"/>
      <c r="I180" s="136"/>
      <c r="J180" s="136"/>
      <c r="K180" s="136"/>
      <c r="L180" s="136"/>
      <c r="M180" s="136"/>
      <c r="N180" s="136"/>
    </row>
    <row r="181" spans="1:14" ht="12.75">
      <c r="A181" s="136"/>
      <c r="B181" s="136"/>
      <c r="C181" s="136"/>
      <c r="D181" s="136"/>
      <c r="E181" s="136"/>
      <c r="F181" s="136"/>
      <c r="G181" s="136"/>
      <c r="H181" s="136"/>
      <c r="I181" s="136"/>
      <c r="J181" s="136"/>
      <c r="K181" s="136"/>
      <c r="L181" s="136"/>
      <c r="M181" s="136"/>
      <c r="N181" s="136"/>
    </row>
    <row r="182" spans="1:14" ht="12.75">
      <c r="A182" s="136"/>
      <c r="B182" s="136"/>
      <c r="C182" s="136"/>
      <c r="D182" s="136"/>
      <c r="E182" s="136"/>
      <c r="F182" s="136"/>
      <c r="G182" s="136"/>
      <c r="H182" s="136"/>
      <c r="I182" s="136"/>
      <c r="J182" s="136"/>
      <c r="K182" s="136"/>
      <c r="L182" s="136"/>
      <c r="M182" s="136"/>
      <c r="N182" s="136"/>
    </row>
    <row r="183" spans="1:14" ht="12.75">
      <c r="A183" s="136"/>
      <c r="B183" s="136"/>
      <c r="C183" s="136"/>
      <c r="D183" s="136"/>
      <c r="E183" s="136"/>
      <c r="F183" s="136"/>
      <c r="G183" s="136"/>
      <c r="H183" s="136"/>
      <c r="I183" s="136"/>
      <c r="J183" s="136"/>
      <c r="K183" s="136"/>
      <c r="L183" s="136"/>
      <c r="M183" s="136"/>
      <c r="N183" s="136"/>
    </row>
    <row r="184" spans="1:14" ht="12.75">
      <c r="A184" s="136"/>
      <c r="B184" s="136"/>
      <c r="C184" s="136"/>
      <c r="D184" s="136"/>
      <c r="E184" s="136"/>
      <c r="F184" s="136"/>
      <c r="G184" s="136"/>
      <c r="H184" s="136"/>
      <c r="I184" s="136"/>
      <c r="J184" s="136"/>
      <c r="K184" s="136"/>
      <c r="L184" s="136"/>
      <c r="M184" s="136"/>
      <c r="N184" s="136"/>
    </row>
    <row r="185" spans="1:14" ht="12.75">
      <c r="A185" s="136"/>
      <c r="B185" s="136"/>
      <c r="C185" s="136"/>
      <c r="D185" s="136"/>
      <c r="E185" s="136"/>
      <c r="F185" s="136"/>
      <c r="G185" s="136"/>
      <c r="H185" s="136"/>
      <c r="I185" s="136"/>
      <c r="J185" s="136"/>
      <c r="K185" s="136"/>
      <c r="L185" s="136"/>
      <c r="M185" s="136"/>
      <c r="N185" s="136"/>
    </row>
    <row r="186" spans="1:14" ht="12.75">
      <c r="A186" s="136"/>
      <c r="B186" s="136"/>
      <c r="C186" s="136"/>
      <c r="D186" s="136"/>
      <c r="E186" s="136"/>
      <c r="F186" s="136"/>
      <c r="G186" s="136"/>
      <c r="H186" s="136"/>
      <c r="I186" s="136"/>
      <c r="J186" s="136"/>
      <c r="K186" s="136"/>
      <c r="L186" s="136"/>
      <c r="M186" s="136"/>
      <c r="N186" s="136"/>
    </row>
    <row r="187" spans="1:14" ht="12.75">
      <c r="A187" s="136"/>
      <c r="B187" s="136"/>
      <c r="C187" s="136"/>
      <c r="D187" s="136"/>
      <c r="E187" s="136"/>
      <c r="F187" s="136"/>
      <c r="G187" s="136"/>
      <c r="H187" s="136"/>
      <c r="I187" s="136"/>
      <c r="J187" s="136"/>
      <c r="K187" s="136"/>
      <c r="L187" s="136"/>
      <c r="M187" s="136"/>
      <c r="N187" s="136"/>
    </row>
    <row r="188" spans="1:14" ht="12.75">
      <c r="A188" s="136"/>
      <c r="B188" s="136"/>
      <c r="C188" s="136"/>
      <c r="D188" s="136"/>
      <c r="E188" s="136"/>
      <c r="F188" s="136"/>
      <c r="G188" s="136"/>
      <c r="H188" s="136"/>
      <c r="I188" s="136"/>
      <c r="J188" s="136"/>
      <c r="K188" s="136"/>
      <c r="L188" s="136"/>
      <c r="M188" s="136"/>
      <c r="N188" s="136"/>
    </row>
  </sheetData>
  <sheetProtection/>
  <mergeCells count="25">
    <mergeCell ref="C60:C61"/>
    <mergeCell ref="C128:C129"/>
    <mergeCell ref="C2:C3"/>
    <mergeCell ref="C165:D165"/>
    <mergeCell ref="C157:D157"/>
    <mergeCell ref="C158:D158"/>
    <mergeCell ref="B151:D151"/>
    <mergeCell ref="C153:D153"/>
    <mergeCell ref="C154:D154"/>
    <mergeCell ref="B147:D147"/>
    <mergeCell ref="C170:D170"/>
    <mergeCell ref="C171:D171"/>
    <mergeCell ref="C172:D172"/>
    <mergeCell ref="C166:D166"/>
    <mergeCell ref="C167:D167"/>
    <mergeCell ref="C168:D168"/>
    <mergeCell ref="B148:D148"/>
    <mergeCell ref="B149:D149"/>
    <mergeCell ref="C169:D169"/>
    <mergeCell ref="C159:D159"/>
    <mergeCell ref="C160:D160"/>
    <mergeCell ref="C161:D161"/>
    <mergeCell ref="B163:D163"/>
    <mergeCell ref="C155:D155"/>
    <mergeCell ref="C156:D156"/>
  </mergeCells>
  <printOptions/>
  <pageMargins left="0.7874015748031497" right="0.7874015748031497" top="0.984251968503937" bottom="0.984251968503937" header="0.5118110236220472" footer="0.5118110236220472"/>
  <pageSetup horizontalDpi="600" verticalDpi="600" orientation="landscape" paperSize="8" r:id="rId4"/>
  <drawing r:id="rId3"/>
  <legacyDrawing r:id="rId2"/>
</worksheet>
</file>

<file path=xl/worksheets/sheet5.xml><?xml version="1.0" encoding="utf-8"?>
<worksheet xmlns="http://schemas.openxmlformats.org/spreadsheetml/2006/main" xmlns:r="http://schemas.openxmlformats.org/officeDocument/2006/relationships">
  <dimension ref="A1:U129"/>
  <sheetViews>
    <sheetView zoomScalePageLayoutView="0" workbookViewId="0" topLeftCell="A64">
      <selection activeCell="J9" sqref="J9"/>
    </sheetView>
  </sheetViews>
  <sheetFormatPr defaultColWidth="11.421875" defaultRowHeight="12.75"/>
  <cols>
    <col min="1" max="1" width="3.00390625" style="1" customWidth="1"/>
    <col min="2" max="2" width="73.00390625" style="1" customWidth="1"/>
    <col min="3" max="3" width="15.421875" style="1" customWidth="1"/>
    <col min="4" max="4" width="13.57421875" style="1" customWidth="1"/>
    <col min="5" max="5" width="16.28125" style="1" customWidth="1"/>
    <col min="6" max="6" width="15.421875" style="1" customWidth="1"/>
    <col min="7" max="8" width="15.57421875" style="1" customWidth="1"/>
    <col min="9" max="9" width="16.28125" style="1" customWidth="1"/>
    <col min="10" max="10" width="16.7109375" style="1" customWidth="1"/>
    <col min="11" max="11" width="14.140625" style="1" customWidth="1"/>
    <col min="12" max="12" width="15.00390625" style="1" customWidth="1"/>
    <col min="13" max="13" width="16.7109375" style="1" customWidth="1"/>
    <col min="14" max="14" width="14.8515625" style="1" customWidth="1"/>
    <col min="15" max="15" width="11.421875" style="1" hidden="1" customWidth="1"/>
    <col min="16" max="16" width="16.8515625" style="1" customWidth="1"/>
    <col min="17" max="17" width="17.8515625" style="1" customWidth="1"/>
    <col min="18" max="18" width="18.421875" style="1" customWidth="1"/>
    <col min="19" max="19" width="17.00390625" style="1" customWidth="1"/>
    <col min="20" max="16384" width="11.421875" style="1" customWidth="1"/>
  </cols>
  <sheetData>
    <row r="1" spans="1:21" ht="18.75" customHeight="1" thickBot="1">
      <c r="A1" s="100" t="s">
        <v>78</v>
      </c>
      <c r="B1" s="101"/>
      <c r="C1" s="136"/>
      <c r="D1" s="136"/>
      <c r="E1" s="136"/>
      <c r="F1" s="136"/>
      <c r="G1" s="136"/>
      <c r="H1" s="136"/>
      <c r="I1" s="136"/>
      <c r="J1" s="136"/>
      <c r="K1" s="136"/>
      <c r="L1" s="136"/>
      <c r="M1" s="136"/>
      <c r="N1" s="136"/>
      <c r="O1" s="136"/>
      <c r="P1" s="136"/>
      <c r="Q1" s="136"/>
      <c r="R1" s="136"/>
      <c r="S1" s="136"/>
      <c r="T1" s="136"/>
      <c r="U1" s="136"/>
    </row>
    <row r="2" spans="1:21" ht="47.25" customHeight="1" thickBot="1">
      <c r="A2" s="136"/>
      <c r="C2" s="37" t="s">
        <v>84</v>
      </c>
      <c r="D2" s="37" t="s">
        <v>86</v>
      </c>
      <c r="E2" s="37" t="s">
        <v>85</v>
      </c>
      <c r="F2" s="37" t="s">
        <v>107</v>
      </c>
      <c r="G2" s="37" t="s">
        <v>87</v>
      </c>
      <c r="H2" s="37" t="s">
        <v>89</v>
      </c>
      <c r="I2" s="39" t="s">
        <v>90</v>
      </c>
      <c r="J2" s="54" t="s">
        <v>80</v>
      </c>
      <c r="K2" s="56" t="s">
        <v>32</v>
      </c>
      <c r="L2" s="8" t="s">
        <v>180</v>
      </c>
      <c r="M2" s="49" t="s">
        <v>30</v>
      </c>
      <c r="N2" s="136"/>
      <c r="P2" s="75" t="s">
        <v>199</v>
      </c>
      <c r="Q2" s="75" t="s">
        <v>196</v>
      </c>
      <c r="R2" s="136"/>
      <c r="S2" s="136"/>
      <c r="T2" s="136"/>
      <c r="U2" s="136"/>
    </row>
    <row r="3" spans="1:21" ht="31.5" customHeight="1" thickBot="1">
      <c r="A3" s="136"/>
      <c r="B3" s="31" t="s">
        <v>79</v>
      </c>
      <c r="C3" s="41" t="s">
        <v>83</v>
      </c>
      <c r="D3" s="38" t="s">
        <v>83</v>
      </c>
      <c r="E3" s="38" t="s">
        <v>83</v>
      </c>
      <c r="F3" s="38" t="s">
        <v>81</v>
      </c>
      <c r="G3" s="38" t="s">
        <v>88</v>
      </c>
      <c r="H3" s="38" t="s">
        <v>91</v>
      </c>
      <c r="I3" s="40" t="s">
        <v>88</v>
      </c>
      <c r="J3" s="55" t="s">
        <v>81</v>
      </c>
      <c r="K3" s="57" t="s">
        <v>0</v>
      </c>
      <c r="L3" s="37" t="s">
        <v>82</v>
      </c>
      <c r="M3" s="50" t="s">
        <v>1</v>
      </c>
      <c r="N3" s="136"/>
      <c r="P3" s="76" t="s">
        <v>0</v>
      </c>
      <c r="Q3" s="76" t="s">
        <v>0</v>
      </c>
      <c r="R3" s="136"/>
      <c r="S3" s="136"/>
      <c r="T3" s="136"/>
      <c r="U3" s="136"/>
    </row>
    <row r="4" spans="1:21" ht="31.5" customHeight="1">
      <c r="A4" s="136"/>
      <c r="B4" s="168" t="s">
        <v>169</v>
      </c>
      <c r="C4" s="174"/>
      <c r="D4" s="174"/>
      <c r="E4" s="174"/>
      <c r="F4" s="174"/>
      <c r="G4" s="174"/>
      <c r="H4" s="174"/>
      <c r="I4" s="174"/>
      <c r="J4" s="174"/>
      <c r="K4" s="136"/>
      <c r="L4" s="136"/>
      <c r="M4" s="136"/>
      <c r="N4" s="136"/>
      <c r="O4" s="136"/>
      <c r="P4" s="136"/>
      <c r="Q4" s="136"/>
      <c r="R4" s="136"/>
      <c r="S4" s="136"/>
      <c r="T4" s="136"/>
      <c r="U4" s="136"/>
    </row>
    <row r="5" spans="1:21" ht="13.5" customHeight="1" thickBot="1">
      <c r="A5" s="136"/>
      <c r="B5" s="34" t="s">
        <v>92</v>
      </c>
      <c r="C5" s="174"/>
      <c r="D5" s="174"/>
      <c r="E5" s="174"/>
      <c r="F5" s="174"/>
      <c r="G5" s="174"/>
      <c r="H5" s="174"/>
      <c r="I5" s="174"/>
      <c r="J5" s="174"/>
      <c r="K5" s="136"/>
      <c r="L5" s="136"/>
      <c r="M5" s="136"/>
      <c r="N5" s="136"/>
      <c r="O5" s="136"/>
      <c r="P5" s="136"/>
      <c r="Q5" s="136"/>
      <c r="R5" s="136"/>
      <c r="S5" s="136"/>
      <c r="T5" s="136"/>
      <c r="U5" s="136"/>
    </row>
    <row r="6" spans="1:21" ht="13.5" thickBot="1">
      <c r="A6" s="136"/>
      <c r="B6" s="6" t="s">
        <v>94</v>
      </c>
      <c r="C6" s="6">
        <v>1.3</v>
      </c>
      <c r="D6" s="6">
        <v>0.9</v>
      </c>
      <c r="E6" s="6">
        <f>C6-D6</f>
        <v>0.4</v>
      </c>
      <c r="F6" s="33">
        <v>150000</v>
      </c>
      <c r="G6" s="6">
        <v>9</v>
      </c>
      <c r="H6" s="6">
        <v>8.4</v>
      </c>
      <c r="I6" s="10">
        <v>62.1</v>
      </c>
      <c r="J6" s="30"/>
      <c r="K6" s="17"/>
      <c r="L6" s="13">
        <v>740.4</v>
      </c>
      <c r="M6" s="63">
        <f>(J6*K6*L6)/1000000</f>
        <v>0</v>
      </c>
      <c r="N6" s="136"/>
      <c r="O6" s="1">
        <f>COUNT(K6)</f>
        <v>0</v>
      </c>
      <c r="P6" s="77" t="str">
        <f>IF(O6=0,"0",((H6*0.75*0.01)*J6)/((E6*1000)/K6))</f>
        <v>0</v>
      </c>
      <c r="Q6" s="83"/>
      <c r="R6" s="136"/>
      <c r="S6" s="136"/>
      <c r="T6" s="136"/>
      <c r="U6" s="136"/>
    </row>
    <row r="7" spans="1:21" ht="13.5" thickBot="1">
      <c r="A7" s="136"/>
      <c r="B7" s="6" t="s">
        <v>95</v>
      </c>
      <c r="C7" s="6">
        <v>1.3</v>
      </c>
      <c r="D7" s="6">
        <v>0.9</v>
      </c>
      <c r="E7" s="6">
        <f aca="true" t="shared" si="0" ref="E7:E19">C7-D7</f>
        <v>0.4</v>
      </c>
      <c r="F7" s="33">
        <v>200000</v>
      </c>
      <c r="G7" s="6">
        <v>6.8</v>
      </c>
      <c r="H7" s="6">
        <v>7.2</v>
      </c>
      <c r="I7" s="10">
        <v>58.6</v>
      </c>
      <c r="J7" s="22"/>
      <c r="K7" s="14"/>
      <c r="L7" s="13">
        <v>680.8</v>
      </c>
      <c r="M7" s="63">
        <f aca="true" t="shared" si="1" ref="M7:M19">(J7*K7*L7)/1000000</f>
        <v>0</v>
      </c>
      <c r="N7" s="136"/>
      <c r="O7" s="1">
        <f aca="true" t="shared" si="2" ref="O7:O19">COUNT(K7)</f>
        <v>0</v>
      </c>
      <c r="P7" s="83"/>
      <c r="Q7" s="77" t="str">
        <f>IF(O7=0,"0",((H7*0.85*0.01)*J7)/((E7*1000)/K7))</f>
        <v>0</v>
      </c>
      <c r="R7" s="136"/>
      <c r="S7" s="136"/>
      <c r="T7" s="136"/>
      <c r="U7" s="136"/>
    </row>
    <row r="8" spans="1:21" ht="13.5" thickBot="1">
      <c r="A8" s="136"/>
      <c r="B8" s="6" t="s">
        <v>96</v>
      </c>
      <c r="C8" s="35">
        <v>1.8</v>
      </c>
      <c r="D8" s="35">
        <v>1.1</v>
      </c>
      <c r="E8" s="35">
        <f t="shared" si="0"/>
        <v>0.7</v>
      </c>
      <c r="F8" s="36">
        <v>150000</v>
      </c>
      <c r="G8" s="35">
        <v>11</v>
      </c>
      <c r="H8" s="35">
        <v>9.5</v>
      </c>
      <c r="I8" s="23">
        <v>70.2</v>
      </c>
      <c r="J8" s="26"/>
      <c r="K8" s="18"/>
      <c r="L8" s="13">
        <v>483.4</v>
      </c>
      <c r="M8" s="63">
        <f t="shared" si="1"/>
        <v>0</v>
      </c>
      <c r="N8" s="136"/>
      <c r="O8" s="1">
        <f t="shared" si="2"/>
        <v>0</v>
      </c>
      <c r="P8" s="77" t="str">
        <f>IF(O8=0,"0",((H8*0.75*0.01)*J8)/((E8*1000)/K8))</f>
        <v>0</v>
      </c>
      <c r="Q8" s="83"/>
      <c r="R8" s="136"/>
      <c r="S8" s="136"/>
      <c r="T8" s="136"/>
      <c r="U8" s="136"/>
    </row>
    <row r="9" spans="1:21" ht="13.5" thickBot="1">
      <c r="A9" s="136"/>
      <c r="B9" s="6" t="s">
        <v>97</v>
      </c>
      <c r="C9" s="6">
        <v>1.8</v>
      </c>
      <c r="D9" s="6">
        <v>1.1</v>
      </c>
      <c r="E9" s="6">
        <f t="shared" si="0"/>
        <v>0.7</v>
      </c>
      <c r="F9" s="33">
        <v>200000</v>
      </c>
      <c r="G9" s="6">
        <v>8.3</v>
      </c>
      <c r="H9" s="6">
        <v>8.4</v>
      </c>
      <c r="I9" s="10">
        <v>68.4</v>
      </c>
      <c r="J9" s="22"/>
      <c r="K9" s="14"/>
      <c r="L9" s="13">
        <v>456.1</v>
      </c>
      <c r="M9" s="63">
        <f t="shared" si="1"/>
        <v>0</v>
      </c>
      <c r="N9" s="136"/>
      <c r="O9" s="1">
        <f t="shared" si="2"/>
        <v>0</v>
      </c>
      <c r="P9" s="83"/>
      <c r="Q9" s="77" t="str">
        <f>IF(O9=0,"0",((H9*0.85*0.01)*J9)/((E9*1000)/K9))</f>
        <v>0</v>
      </c>
      <c r="R9" s="136"/>
      <c r="S9" s="136"/>
      <c r="T9" s="136"/>
      <c r="U9" s="136"/>
    </row>
    <row r="10" spans="1:21" ht="13.5" thickBot="1">
      <c r="A10" s="136"/>
      <c r="B10" s="6" t="s">
        <v>98</v>
      </c>
      <c r="C10" s="6">
        <v>2.9</v>
      </c>
      <c r="D10" s="6">
        <v>1.7</v>
      </c>
      <c r="E10" s="6">
        <f t="shared" si="0"/>
        <v>1.2</v>
      </c>
      <c r="F10" s="33">
        <v>200000</v>
      </c>
      <c r="G10" s="6">
        <v>12.8</v>
      </c>
      <c r="H10" s="6">
        <v>16.7</v>
      </c>
      <c r="I10" s="10">
        <v>123.4</v>
      </c>
      <c r="J10" s="26"/>
      <c r="K10" s="19"/>
      <c r="L10" s="13">
        <v>472.8</v>
      </c>
      <c r="M10" s="63">
        <f t="shared" si="1"/>
        <v>0</v>
      </c>
      <c r="N10" s="136"/>
      <c r="O10" s="1">
        <f t="shared" si="2"/>
        <v>0</v>
      </c>
      <c r="P10" s="77" t="str">
        <f>IF(O10=0,"0",((H10*0.75*0.01)*J10)/((E10*1000)/K10))</f>
        <v>0</v>
      </c>
      <c r="Q10" s="83"/>
      <c r="R10" s="136"/>
      <c r="S10" s="136"/>
      <c r="T10" s="136"/>
      <c r="U10" s="136"/>
    </row>
    <row r="11" spans="1:21" ht="13.5" thickBot="1">
      <c r="A11" s="136"/>
      <c r="B11" s="6" t="s">
        <v>99</v>
      </c>
      <c r="C11" s="6">
        <v>2.9</v>
      </c>
      <c r="D11" s="6">
        <v>1.7</v>
      </c>
      <c r="E11" s="6">
        <f t="shared" si="0"/>
        <v>1.2</v>
      </c>
      <c r="F11" s="33">
        <v>250000</v>
      </c>
      <c r="G11" s="6">
        <v>10.2</v>
      </c>
      <c r="H11" s="6">
        <v>10.8</v>
      </c>
      <c r="I11" s="10">
        <v>87.9</v>
      </c>
      <c r="J11" s="22"/>
      <c r="K11" s="19"/>
      <c r="L11" s="13">
        <v>340.7</v>
      </c>
      <c r="M11" s="63">
        <f t="shared" si="1"/>
        <v>0</v>
      </c>
      <c r="N11" s="136"/>
      <c r="O11" s="1">
        <f t="shared" si="2"/>
        <v>0</v>
      </c>
      <c r="P11" s="83"/>
      <c r="Q11" s="77" t="str">
        <f aca="true" t="shared" si="3" ref="Q11:Q19">IF(O11=0,"0",((H11*0.85*0.01)*J11)/((E11*1000)/K11))</f>
        <v>0</v>
      </c>
      <c r="R11" s="136"/>
      <c r="S11" s="136"/>
      <c r="T11" s="136"/>
      <c r="U11" s="136"/>
    </row>
    <row r="12" spans="1:21" ht="13.5" thickBot="1">
      <c r="A12" s="136"/>
      <c r="B12" s="6" t="s">
        <v>100</v>
      </c>
      <c r="C12" s="6">
        <v>3.5</v>
      </c>
      <c r="D12" s="6">
        <v>2.1</v>
      </c>
      <c r="E12" s="6">
        <f t="shared" si="0"/>
        <v>1.4</v>
      </c>
      <c r="F12" s="33">
        <v>300000</v>
      </c>
      <c r="G12" s="6">
        <v>10.5</v>
      </c>
      <c r="H12" s="6">
        <v>12.4</v>
      </c>
      <c r="I12" s="10">
        <v>100.9</v>
      </c>
      <c r="J12" s="26"/>
      <c r="K12" s="19"/>
      <c r="L12" s="13">
        <v>331.7</v>
      </c>
      <c r="M12" s="63">
        <f t="shared" si="1"/>
        <v>0</v>
      </c>
      <c r="N12" s="136"/>
      <c r="O12" s="1">
        <f t="shared" si="2"/>
        <v>0</v>
      </c>
      <c r="P12" s="83"/>
      <c r="Q12" s="77" t="str">
        <f t="shared" si="3"/>
        <v>0</v>
      </c>
      <c r="R12" s="136"/>
      <c r="S12" s="136"/>
      <c r="T12" s="136"/>
      <c r="U12" s="136"/>
    </row>
    <row r="13" spans="1:21" ht="13.5" thickBot="1">
      <c r="A13" s="136"/>
      <c r="B13" s="6" t="s">
        <v>101</v>
      </c>
      <c r="C13" s="6">
        <v>4.74</v>
      </c>
      <c r="D13" s="6">
        <v>2.37</v>
      </c>
      <c r="E13" s="6">
        <f t="shared" si="0"/>
        <v>2.37</v>
      </c>
      <c r="F13" s="33">
        <v>300000</v>
      </c>
      <c r="G13" s="6">
        <v>11.9</v>
      </c>
      <c r="H13" s="6">
        <v>18.5</v>
      </c>
      <c r="I13" s="10">
        <v>150.6</v>
      </c>
      <c r="J13" s="22"/>
      <c r="K13" s="19"/>
      <c r="L13" s="13">
        <v>285.4</v>
      </c>
      <c r="M13" s="63">
        <f t="shared" si="1"/>
        <v>0</v>
      </c>
      <c r="N13" s="136"/>
      <c r="O13" s="1">
        <f t="shared" si="2"/>
        <v>0</v>
      </c>
      <c r="P13" s="83"/>
      <c r="Q13" s="77" t="str">
        <f t="shared" si="3"/>
        <v>0</v>
      </c>
      <c r="R13" s="136"/>
      <c r="S13" s="136"/>
      <c r="T13" s="136"/>
      <c r="U13" s="136"/>
    </row>
    <row r="14" spans="1:21" ht="13.5" thickBot="1">
      <c r="A14" s="136"/>
      <c r="B14" s="6" t="s">
        <v>102</v>
      </c>
      <c r="C14" s="6">
        <v>5.67</v>
      </c>
      <c r="D14" s="6">
        <v>2.84</v>
      </c>
      <c r="E14" s="6">
        <f t="shared" si="0"/>
        <v>2.83</v>
      </c>
      <c r="F14" s="33">
        <v>300000</v>
      </c>
      <c r="G14" s="6">
        <v>14.2</v>
      </c>
      <c r="H14" s="6">
        <v>14.5</v>
      </c>
      <c r="I14" s="10">
        <v>118</v>
      </c>
      <c r="J14" s="26"/>
      <c r="K14" s="19"/>
      <c r="L14" s="13">
        <v>194.2</v>
      </c>
      <c r="M14" s="63">
        <f t="shared" si="1"/>
        <v>0</v>
      </c>
      <c r="N14" s="136"/>
      <c r="O14" s="1">
        <f t="shared" si="2"/>
        <v>0</v>
      </c>
      <c r="P14" s="83"/>
      <c r="Q14" s="77" t="str">
        <f t="shared" si="3"/>
        <v>0</v>
      </c>
      <c r="R14" s="136"/>
      <c r="S14" s="136"/>
      <c r="T14" s="136"/>
      <c r="U14" s="136"/>
    </row>
    <row r="15" spans="1:21" ht="13.5" thickBot="1">
      <c r="A15" s="136"/>
      <c r="B15" s="6" t="s">
        <v>103</v>
      </c>
      <c r="C15" s="6">
        <v>8.8</v>
      </c>
      <c r="D15" s="6">
        <v>4.11</v>
      </c>
      <c r="E15" s="6">
        <f t="shared" si="0"/>
        <v>4.69</v>
      </c>
      <c r="F15" s="33">
        <v>380000</v>
      </c>
      <c r="G15" s="6">
        <v>16.2</v>
      </c>
      <c r="H15" s="6">
        <v>21.9</v>
      </c>
      <c r="I15" s="10">
        <v>178.3</v>
      </c>
      <c r="J15" s="22"/>
      <c r="K15" s="19"/>
      <c r="L15" s="13">
        <v>145.1</v>
      </c>
      <c r="M15" s="63">
        <f t="shared" si="1"/>
        <v>0</v>
      </c>
      <c r="N15" s="136"/>
      <c r="O15" s="1">
        <f t="shared" si="2"/>
        <v>0</v>
      </c>
      <c r="P15" s="83"/>
      <c r="Q15" s="77" t="str">
        <f t="shared" si="3"/>
        <v>0</v>
      </c>
      <c r="R15" s="136"/>
      <c r="S15" s="136"/>
      <c r="T15" s="136"/>
      <c r="U15" s="136"/>
    </row>
    <row r="16" spans="1:21" ht="13.5" thickBot="1">
      <c r="A16" s="136"/>
      <c r="B16" s="6" t="s">
        <v>104</v>
      </c>
      <c r="C16" s="6">
        <v>16.32</v>
      </c>
      <c r="D16" s="6">
        <v>6.53</v>
      </c>
      <c r="E16" s="6">
        <f t="shared" si="0"/>
        <v>9.79</v>
      </c>
      <c r="F16" s="33">
        <v>480000</v>
      </c>
      <c r="G16" s="6">
        <v>20.4</v>
      </c>
      <c r="H16" s="6">
        <v>29.6</v>
      </c>
      <c r="I16" s="10">
        <v>240.9</v>
      </c>
      <c r="J16" s="26"/>
      <c r="K16" s="19"/>
      <c r="L16" s="13">
        <v>74.9</v>
      </c>
      <c r="M16" s="63">
        <f t="shared" si="1"/>
        <v>0</v>
      </c>
      <c r="N16" s="136"/>
      <c r="O16" s="1">
        <f t="shared" si="2"/>
        <v>0</v>
      </c>
      <c r="P16" s="83"/>
      <c r="Q16" s="77" t="str">
        <f t="shared" si="3"/>
        <v>0</v>
      </c>
      <c r="R16" s="136"/>
      <c r="S16" s="136"/>
      <c r="T16" s="136"/>
      <c r="U16" s="136"/>
    </row>
    <row r="17" spans="1:21" ht="13.5" thickBot="1">
      <c r="A17" s="136"/>
      <c r="B17" s="6" t="s">
        <v>105</v>
      </c>
      <c r="C17" s="6">
        <v>19.37</v>
      </c>
      <c r="D17" s="6">
        <v>7.75</v>
      </c>
      <c r="E17" s="6">
        <f t="shared" si="0"/>
        <v>11.620000000000001</v>
      </c>
      <c r="F17" s="33">
        <v>550000</v>
      </c>
      <c r="G17" s="6">
        <v>21.1</v>
      </c>
      <c r="H17" s="6">
        <v>34.2</v>
      </c>
      <c r="I17" s="10">
        <v>278.4</v>
      </c>
      <c r="J17" s="22"/>
      <c r="K17" s="19"/>
      <c r="L17" s="13">
        <v>71.4</v>
      </c>
      <c r="M17" s="63">
        <f t="shared" si="1"/>
        <v>0</v>
      </c>
      <c r="N17" s="136"/>
      <c r="O17" s="1">
        <f t="shared" si="2"/>
        <v>0</v>
      </c>
      <c r="P17" s="83"/>
      <c r="Q17" s="77" t="str">
        <f t="shared" si="3"/>
        <v>0</v>
      </c>
      <c r="R17" s="136"/>
      <c r="S17" s="136"/>
      <c r="T17" s="136"/>
      <c r="U17" s="136"/>
    </row>
    <row r="18" spans="1:21" ht="13.5" thickBot="1">
      <c r="A18" s="136"/>
      <c r="B18" s="6" t="s">
        <v>93</v>
      </c>
      <c r="C18" s="6">
        <v>26.87</v>
      </c>
      <c r="D18" s="6">
        <v>10.21</v>
      </c>
      <c r="E18" s="6">
        <f t="shared" si="0"/>
        <v>16.66</v>
      </c>
      <c r="F18" s="33">
        <v>650000</v>
      </c>
      <c r="G18" s="6">
        <v>23.6</v>
      </c>
      <c r="H18" s="6">
        <v>42.8</v>
      </c>
      <c r="I18" s="10">
        <v>348.4</v>
      </c>
      <c r="J18" s="26"/>
      <c r="K18" s="19">
        <v>4.2618</v>
      </c>
      <c r="L18" s="13">
        <v>64.1</v>
      </c>
      <c r="M18" s="63">
        <f t="shared" si="1"/>
        <v>0</v>
      </c>
      <c r="N18" s="136"/>
      <c r="O18" s="1">
        <f t="shared" si="2"/>
        <v>1</v>
      </c>
      <c r="P18" s="83"/>
      <c r="Q18" s="77">
        <f t="shared" si="3"/>
        <v>0</v>
      </c>
      <c r="R18" s="136"/>
      <c r="S18" s="136"/>
      <c r="T18" s="136"/>
      <c r="U18" s="136"/>
    </row>
    <row r="19" spans="1:21" ht="13.5" thickBot="1">
      <c r="A19" s="136"/>
      <c r="B19" s="6" t="s">
        <v>106</v>
      </c>
      <c r="C19" s="6">
        <v>40</v>
      </c>
      <c r="D19" s="6">
        <v>15</v>
      </c>
      <c r="E19" s="6">
        <f t="shared" si="0"/>
        <v>25</v>
      </c>
      <c r="F19" s="33">
        <v>750000</v>
      </c>
      <c r="G19" s="6">
        <v>30</v>
      </c>
      <c r="H19" s="6">
        <v>37.1</v>
      </c>
      <c r="I19" s="10">
        <v>302</v>
      </c>
      <c r="J19" s="22"/>
      <c r="K19" s="19">
        <v>4.2618</v>
      </c>
      <c r="L19" s="13">
        <v>29.4</v>
      </c>
      <c r="M19" s="63">
        <f t="shared" si="1"/>
        <v>0</v>
      </c>
      <c r="N19" s="136"/>
      <c r="O19" s="1">
        <f t="shared" si="2"/>
        <v>1</v>
      </c>
      <c r="P19" s="84"/>
      <c r="Q19" s="78">
        <f t="shared" si="3"/>
        <v>0</v>
      </c>
      <c r="R19" s="136"/>
      <c r="S19" s="136"/>
      <c r="T19" s="136"/>
      <c r="U19" s="136"/>
    </row>
    <row r="20" spans="1:21" ht="13.5" thickBot="1">
      <c r="A20" s="136"/>
      <c r="B20" s="136"/>
      <c r="C20" s="136"/>
      <c r="D20" s="136"/>
      <c r="E20" s="136"/>
      <c r="F20" s="136"/>
      <c r="G20" s="136"/>
      <c r="H20" s="136"/>
      <c r="I20" s="136"/>
      <c r="J20" s="136"/>
      <c r="K20" s="136"/>
      <c r="L20" s="167" t="s">
        <v>54</v>
      </c>
      <c r="M20" s="25">
        <f>SUM(M6:M19)</f>
        <v>0</v>
      </c>
      <c r="N20" s="171" t="s">
        <v>54</v>
      </c>
      <c r="P20" s="79">
        <f>SUM(P6:P19)</f>
        <v>0</v>
      </c>
      <c r="Q20" s="79">
        <f>SUM(Q6:Q19)</f>
        <v>0</v>
      </c>
      <c r="R20" s="136"/>
      <c r="S20" s="136"/>
      <c r="T20" s="136"/>
      <c r="U20" s="136"/>
    </row>
    <row r="21" spans="1:21" ht="15.75" customHeight="1" thickBot="1">
      <c r="A21" s="136"/>
      <c r="B21" s="177" t="s">
        <v>160</v>
      </c>
      <c r="C21" s="136"/>
      <c r="D21" s="136"/>
      <c r="E21" s="136"/>
      <c r="F21" s="136"/>
      <c r="G21" s="136"/>
      <c r="H21" s="136"/>
      <c r="I21" s="136"/>
      <c r="J21" s="136"/>
      <c r="K21" s="136"/>
      <c r="L21" s="167"/>
      <c r="M21" s="181"/>
      <c r="N21" s="167" t="s">
        <v>54</v>
      </c>
      <c r="P21" s="81">
        <f>P20/1000</f>
        <v>0</v>
      </c>
      <c r="Q21" s="81">
        <f>Q20/1000</f>
        <v>0</v>
      </c>
      <c r="R21" s="136"/>
      <c r="S21" s="136"/>
      <c r="T21" s="136"/>
      <c r="U21" s="136"/>
    </row>
    <row r="22" spans="1:21" ht="15.75" customHeight="1">
      <c r="A22" s="136"/>
      <c r="B22" s="178" t="s">
        <v>157</v>
      </c>
      <c r="C22" s="136"/>
      <c r="D22" s="136"/>
      <c r="E22" s="136"/>
      <c r="F22" s="136"/>
      <c r="G22" s="136"/>
      <c r="H22" s="136"/>
      <c r="I22" s="136"/>
      <c r="J22" s="136"/>
      <c r="K22" s="136"/>
      <c r="L22" s="167"/>
      <c r="M22" s="181"/>
      <c r="P22" s="106" t="s">
        <v>83</v>
      </c>
      <c r="Q22" s="106" t="s">
        <v>83</v>
      </c>
      <c r="R22" s="136"/>
      <c r="S22" s="136"/>
      <c r="T22" s="136"/>
      <c r="U22" s="136"/>
    </row>
    <row r="23" spans="1:21" ht="15.75" customHeight="1">
      <c r="A23" s="136"/>
      <c r="B23" s="178" t="s">
        <v>158</v>
      </c>
      <c r="C23" s="136"/>
      <c r="D23" s="136"/>
      <c r="E23" s="136"/>
      <c r="F23" s="136"/>
      <c r="G23" s="136"/>
      <c r="H23" s="136"/>
      <c r="I23" s="136"/>
      <c r="J23" s="136"/>
      <c r="K23" s="136"/>
      <c r="L23" s="167"/>
      <c r="M23" s="181"/>
      <c r="N23" s="136"/>
      <c r="O23" s="136"/>
      <c r="P23" s="136"/>
      <c r="Q23" s="136"/>
      <c r="R23" s="136"/>
      <c r="S23" s="136"/>
      <c r="T23" s="136"/>
      <c r="U23" s="136"/>
    </row>
    <row r="24" spans="1:21" ht="15.75" customHeight="1">
      <c r="A24" s="136"/>
      <c r="B24" s="178" t="s">
        <v>159</v>
      </c>
      <c r="C24" s="150"/>
      <c r="D24" s="136"/>
      <c r="E24" s="136"/>
      <c r="F24" s="136"/>
      <c r="G24" s="136"/>
      <c r="H24" s="136"/>
      <c r="I24" s="136"/>
      <c r="J24" s="136"/>
      <c r="K24" s="136"/>
      <c r="L24" s="136"/>
      <c r="M24" s="136"/>
      <c r="N24" s="136"/>
      <c r="O24" s="136"/>
      <c r="P24" s="136"/>
      <c r="Q24" s="136"/>
      <c r="R24" s="136"/>
      <c r="S24" s="136"/>
      <c r="T24" s="136"/>
      <c r="U24" s="136"/>
    </row>
    <row r="25" spans="1:21" ht="47.25" customHeight="1" thickBot="1">
      <c r="A25" s="136"/>
      <c r="B25" s="136"/>
      <c r="C25" s="38" t="s">
        <v>112</v>
      </c>
      <c r="D25" s="37" t="s">
        <v>109</v>
      </c>
      <c r="E25" s="37" t="s">
        <v>123</v>
      </c>
      <c r="F25" s="38" t="s">
        <v>124</v>
      </c>
      <c r="G25" s="54" t="s">
        <v>80</v>
      </c>
      <c r="H25" s="58" t="s">
        <v>32</v>
      </c>
      <c r="I25" s="8" t="s">
        <v>180</v>
      </c>
      <c r="J25" s="49" t="s">
        <v>30</v>
      </c>
      <c r="K25" s="136"/>
      <c r="L25" s="136"/>
      <c r="M25" s="75" t="s">
        <v>197</v>
      </c>
      <c r="N25" s="136"/>
      <c r="O25" s="136"/>
      <c r="P25" s="136"/>
      <c r="Q25" s="136"/>
      <c r="R25" s="136"/>
      <c r="S25" s="136"/>
      <c r="T25" s="136"/>
      <c r="U25" s="136"/>
    </row>
    <row r="26" spans="1:21" ht="31.5" customHeight="1" thickBot="1">
      <c r="A26" s="136"/>
      <c r="B26" s="31" t="s">
        <v>108</v>
      </c>
      <c r="D26" s="38" t="s">
        <v>110</v>
      </c>
      <c r="E26" s="38" t="s">
        <v>81</v>
      </c>
      <c r="F26" s="38" t="s">
        <v>83</v>
      </c>
      <c r="G26" s="55" t="s">
        <v>81</v>
      </c>
      <c r="H26" s="59" t="s">
        <v>0</v>
      </c>
      <c r="I26" s="28" t="s">
        <v>125</v>
      </c>
      <c r="J26" s="50" t="s">
        <v>1</v>
      </c>
      <c r="K26" s="136"/>
      <c r="L26" s="136"/>
      <c r="M26" s="76" t="s">
        <v>0</v>
      </c>
      <c r="N26" s="136"/>
      <c r="O26" s="136"/>
      <c r="P26" s="136"/>
      <c r="Q26" s="136"/>
      <c r="R26" s="136"/>
      <c r="S26" s="136"/>
      <c r="T26" s="136"/>
      <c r="U26" s="136"/>
    </row>
    <row r="27" spans="1:21" ht="18.75" customHeight="1">
      <c r="A27" s="136"/>
      <c r="B27" s="32" t="s">
        <v>128</v>
      </c>
      <c r="C27" s="136"/>
      <c r="D27" s="136"/>
      <c r="E27" s="136"/>
      <c r="F27" s="136"/>
      <c r="G27" s="175"/>
      <c r="H27" s="175"/>
      <c r="I27" s="136"/>
      <c r="J27" s="175"/>
      <c r="K27" s="136"/>
      <c r="L27" s="136"/>
      <c r="M27" s="136"/>
      <c r="N27" s="136"/>
      <c r="O27" s="136"/>
      <c r="P27" s="136"/>
      <c r="Q27" s="136"/>
      <c r="R27" s="136"/>
      <c r="S27" s="136"/>
      <c r="T27" s="136"/>
      <c r="U27" s="136"/>
    </row>
    <row r="28" spans="1:21" ht="13.5" thickBot="1">
      <c r="A28" s="136"/>
      <c r="B28" s="7" t="s">
        <v>111</v>
      </c>
      <c r="C28" s="176"/>
      <c r="D28" s="162"/>
      <c r="E28" s="162"/>
      <c r="F28" s="162"/>
      <c r="G28" s="162"/>
      <c r="H28" s="136"/>
      <c r="I28" s="136"/>
      <c r="J28" s="136"/>
      <c r="K28" s="136"/>
      <c r="L28" s="136"/>
      <c r="M28" s="136"/>
      <c r="N28" s="136"/>
      <c r="O28" s="136"/>
      <c r="P28" s="136"/>
      <c r="Q28" s="136"/>
      <c r="R28" s="136"/>
      <c r="S28" s="136"/>
      <c r="T28" s="136"/>
      <c r="U28" s="136"/>
    </row>
    <row r="29" spans="1:21" ht="13.5" thickBot="1">
      <c r="A29" s="136"/>
      <c r="B29" s="6" t="s">
        <v>114</v>
      </c>
      <c r="C29" s="42" t="s">
        <v>113</v>
      </c>
      <c r="D29" s="36">
        <v>23860</v>
      </c>
      <c r="E29" s="36">
        <v>2778</v>
      </c>
      <c r="F29" s="23">
        <v>16</v>
      </c>
      <c r="G29" s="30"/>
      <c r="H29" s="17"/>
      <c r="I29" s="13">
        <v>1.044</v>
      </c>
      <c r="J29" s="63">
        <f aca="true" t="shared" si="4" ref="J29:J43">(G29*H29*I29)/1000</f>
        <v>0</v>
      </c>
      <c r="K29" s="136"/>
      <c r="L29" s="136"/>
      <c r="M29" s="77" t="str">
        <f>IF(O29=0,"0",(((D29*0.8)/E29)*G29)/((F29*1000)/H29))</f>
        <v>0</v>
      </c>
      <c r="N29" s="136"/>
      <c r="O29" s="136">
        <f>COUNT(H29)</f>
        <v>0</v>
      </c>
      <c r="P29" s="136"/>
      <c r="Q29" s="136"/>
      <c r="R29" s="136"/>
      <c r="S29" s="136"/>
      <c r="T29" s="136"/>
      <c r="U29" s="136"/>
    </row>
    <row r="30" spans="1:21" ht="13.5" thickBot="1">
      <c r="A30" s="136"/>
      <c r="B30" s="6" t="s">
        <v>114</v>
      </c>
      <c r="C30" s="42" t="s">
        <v>113</v>
      </c>
      <c r="D30" s="36">
        <v>23860</v>
      </c>
      <c r="E30" s="36">
        <v>5186</v>
      </c>
      <c r="F30" s="23">
        <v>10</v>
      </c>
      <c r="G30" s="22"/>
      <c r="H30" s="14"/>
      <c r="I30" s="13">
        <v>0.895</v>
      </c>
      <c r="J30" s="63">
        <f t="shared" si="4"/>
        <v>0</v>
      </c>
      <c r="K30" s="136"/>
      <c r="L30" s="136"/>
      <c r="M30" s="77" t="str">
        <f aca="true" t="shared" si="5" ref="M30:M43">IF(O30=0,"0",(((D30*0.8)/E30)*G30)/((F30*1000)/H30))</f>
        <v>0</v>
      </c>
      <c r="N30" s="136"/>
      <c r="O30" s="136">
        <f aca="true" t="shared" si="6" ref="O30:O43">COUNT(H30)</f>
        <v>0</v>
      </c>
      <c r="P30" s="136"/>
      <c r="Q30" s="136"/>
      <c r="R30" s="136"/>
      <c r="S30" s="136"/>
      <c r="T30" s="136"/>
      <c r="U30" s="136"/>
    </row>
    <row r="31" spans="1:21" ht="13.5" thickBot="1">
      <c r="A31" s="136"/>
      <c r="B31" s="6" t="s">
        <v>115</v>
      </c>
      <c r="C31" s="42" t="s">
        <v>113</v>
      </c>
      <c r="D31" s="36">
        <v>29660</v>
      </c>
      <c r="E31" s="36">
        <v>4593</v>
      </c>
      <c r="F31" s="23">
        <v>18.5</v>
      </c>
      <c r="G31" s="26"/>
      <c r="H31" s="18"/>
      <c r="I31" s="13">
        <v>0.68</v>
      </c>
      <c r="J31" s="63">
        <f t="shared" si="4"/>
        <v>0</v>
      </c>
      <c r="K31" s="136"/>
      <c r="L31" s="136"/>
      <c r="M31" s="77" t="str">
        <f t="shared" si="5"/>
        <v>0</v>
      </c>
      <c r="N31" s="136"/>
      <c r="O31" s="136">
        <f t="shared" si="6"/>
        <v>0</v>
      </c>
      <c r="P31" s="136"/>
      <c r="Q31" s="136"/>
      <c r="R31" s="136"/>
      <c r="S31" s="136"/>
      <c r="T31" s="136"/>
      <c r="U31" s="136"/>
    </row>
    <row r="32" spans="1:21" ht="13.5" thickBot="1">
      <c r="A32" s="136"/>
      <c r="B32" s="6" t="s">
        <v>115</v>
      </c>
      <c r="C32" s="42" t="s">
        <v>113</v>
      </c>
      <c r="D32" s="36">
        <v>29660</v>
      </c>
      <c r="E32" s="36">
        <v>6852</v>
      </c>
      <c r="F32" s="23">
        <v>11</v>
      </c>
      <c r="G32" s="22"/>
      <c r="H32" s="14"/>
      <c r="I32" s="44">
        <v>0.765</v>
      </c>
      <c r="J32" s="63">
        <f t="shared" si="4"/>
        <v>0</v>
      </c>
      <c r="K32" s="136"/>
      <c r="L32" s="136"/>
      <c r="M32" s="77" t="str">
        <f t="shared" si="5"/>
        <v>0</v>
      </c>
      <c r="N32" s="136"/>
      <c r="O32" s="136">
        <f t="shared" si="6"/>
        <v>0</v>
      </c>
      <c r="P32" s="136"/>
      <c r="Q32" s="136"/>
      <c r="R32" s="136"/>
      <c r="S32" s="136"/>
      <c r="T32" s="136"/>
      <c r="U32" s="136"/>
    </row>
    <row r="33" spans="1:21" ht="13.5" thickBot="1">
      <c r="A33" s="136"/>
      <c r="B33" s="6" t="s">
        <v>116</v>
      </c>
      <c r="C33" s="42" t="s">
        <v>113</v>
      </c>
      <c r="D33" s="33">
        <v>29660</v>
      </c>
      <c r="E33" s="33">
        <v>2675</v>
      </c>
      <c r="F33" s="10">
        <v>20</v>
      </c>
      <c r="G33" s="26"/>
      <c r="H33" s="18"/>
      <c r="I33" s="13">
        <v>1.078</v>
      </c>
      <c r="J33" s="63">
        <f t="shared" si="4"/>
        <v>0</v>
      </c>
      <c r="K33" s="136"/>
      <c r="L33" s="136"/>
      <c r="M33" s="77" t="str">
        <f t="shared" si="5"/>
        <v>0</v>
      </c>
      <c r="N33" s="136"/>
      <c r="O33" s="136">
        <f t="shared" si="6"/>
        <v>0</v>
      </c>
      <c r="P33" s="136"/>
      <c r="Q33" s="136"/>
      <c r="R33" s="136"/>
      <c r="S33" s="136"/>
      <c r="T33" s="136"/>
      <c r="U33" s="136"/>
    </row>
    <row r="34" spans="1:21" ht="13.5" thickBot="1">
      <c r="A34" s="136"/>
      <c r="B34" s="6" t="s">
        <v>116</v>
      </c>
      <c r="C34" s="42" t="s">
        <v>113</v>
      </c>
      <c r="D34" s="33">
        <v>29660</v>
      </c>
      <c r="E34" s="33">
        <v>4116</v>
      </c>
      <c r="F34" s="10">
        <v>15</v>
      </c>
      <c r="G34" s="22"/>
      <c r="H34" s="14"/>
      <c r="I34" s="13">
        <v>0.934</v>
      </c>
      <c r="J34" s="63">
        <f t="shared" si="4"/>
        <v>0</v>
      </c>
      <c r="K34" s="136"/>
      <c r="L34" s="136"/>
      <c r="M34" s="77" t="str">
        <f t="shared" si="5"/>
        <v>0</v>
      </c>
      <c r="N34" s="136"/>
      <c r="O34" s="136">
        <f t="shared" si="6"/>
        <v>0</v>
      </c>
      <c r="P34" s="136"/>
      <c r="Q34" s="136"/>
      <c r="R34" s="136"/>
      <c r="S34" s="136"/>
      <c r="T34" s="136"/>
      <c r="U34" s="136"/>
    </row>
    <row r="35" spans="1:21" ht="13.5" thickBot="1">
      <c r="A35" s="136"/>
      <c r="B35" s="6" t="s">
        <v>117</v>
      </c>
      <c r="C35" s="6" t="s">
        <v>126</v>
      </c>
      <c r="D35" s="33">
        <v>68150</v>
      </c>
      <c r="E35" s="33">
        <v>5062</v>
      </c>
      <c r="F35" s="10">
        <v>52</v>
      </c>
      <c r="G35" s="26"/>
      <c r="H35" s="18"/>
      <c r="I35" s="13">
        <v>0.504</v>
      </c>
      <c r="J35" s="63">
        <f t="shared" si="4"/>
        <v>0</v>
      </c>
      <c r="K35" s="136"/>
      <c r="L35" s="136"/>
      <c r="M35" s="77" t="str">
        <f t="shared" si="5"/>
        <v>0</v>
      </c>
      <c r="N35" s="136"/>
      <c r="O35" s="136">
        <f t="shared" si="6"/>
        <v>0</v>
      </c>
      <c r="P35" s="136"/>
      <c r="Q35" s="136"/>
      <c r="R35" s="136"/>
      <c r="S35" s="136"/>
      <c r="T35" s="136"/>
      <c r="U35" s="136"/>
    </row>
    <row r="36" spans="1:21" ht="13.5" thickBot="1">
      <c r="A36" s="136"/>
      <c r="B36" s="6" t="s">
        <v>117</v>
      </c>
      <c r="C36" s="6" t="s">
        <v>126</v>
      </c>
      <c r="D36" s="33">
        <v>68150</v>
      </c>
      <c r="E36" s="33">
        <v>6297</v>
      </c>
      <c r="F36" s="10">
        <v>43</v>
      </c>
      <c r="G36" s="22"/>
      <c r="H36" s="14"/>
      <c r="I36" s="13">
        <v>0.49</v>
      </c>
      <c r="J36" s="63">
        <f t="shared" si="4"/>
        <v>0</v>
      </c>
      <c r="K36" s="136"/>
      <c r="L36" s="136"/>
      <c r="M36" s="77" t="str">
        <f t="shared" si="5"/>
        <v>0</v>
      </c>
      <c r="N36" s="136"/>
      <c r="O36" s="136">
        <f t="shared" si="6"/>
        <v>0</v>
      </c>
      <c r="P36" s="136"/>
      <c r="Q36" s="136"/>
      <c r="R36" s="136"/>
      <c r="S36" s="136"/>
      <c r="T36" s="136"/>
      <c r="U36" s="136"/>
    </row>
    <row r="37" spans="1:21" ht="13.5" thickBot="1">
      <c r="A37" s="136"/>
      <c r="B37" s="6" t="s">
        <v>118</v>
      </c>
      <c r="C37" s="6" t="s">
        <v>126</v>
      </c>
      <c r="D37" s="33">
        <v>75470</v>
      </c>
      <c r="E37" s="33">
        <v>6482</v>
      </c>
      <c r="F37" s="10">
        <v>33</v>
      </c>
      <c r="G37" s="26"/>
      <c r="H37" s="18"/>
      <c r="I37" s="13">
        <v>0.689</v>
      </c>
      <c r="J37" s="63">
        <f t="shared" si="4"/>
        <v>0</v>
      </c>
      <c r="K37" s="136"/>
      <c r="L37" s="136"/>
      <c r="M37" s="77" t="str">
        <f t="shared" si="5"/>
        <v>0</v>
      </c>
      <c r="N37" s="136"/>
      <c r="O37" s="136">
        <f t="shared" si="6"/>
        <v>0</v>
      </c>
      <c r="P37" s="136"/>
      <c r="Q37" s="136"/>
      <c r="R37" s="136"/>
      <c r="S37" s="136"/>
      <c r="T37" s="136"/>
      <c r="U37" s="136"/>
    </row>
    <row r="38" spans="1:21" ht="13.5" thickBot="1">
      <c r="A38" s="136"/>
      <c r="B38" s="6" t="s">
        <v>119</v>
      </c>
      <c r="C38" s="43" t="s">
        <v>127</v>
      </c>
      <c r="D38" s="33">
        <v>139090</v>
      </c>
      <c r="E38" s="33">
        <v>8149</v>
      </c>
      <c r="F38" s="10">
        <v>104</v>
      </c>
      <c r="G38" s="22"/>
      <c r="H38" s="14"/>
      <c r="I38" s="13">
        <v>0.319</v>
      </c>
      <c r="J38" s="63">
        <f t="shared" si="4"/>
        <v>0</v>
      </c>
      <c r="K38" s="136"/>
      <c r="L38" s="136"/>
      <c r="M38" s="77" t="str">
        <f t="shared" si="5"/>
        <v>0</v>
      </c>
      <c r="N38" s="136"/>
      <c r="O38" s="136">
        <f t="shared" si="6"/>
        <v>0</v>
      </c>
      <c r="P38" s="136"/>
      <c r="Q38" s="136"/>
      <c r="R38" s="136"/>
      <c r="S38" s="136"/>
      <c r="T38" s="136"/>
      <c r="U38" s="136"/>
    </row>
    <row r="39" spans="1:21" ht="13.5" thickBot="1">
      <c r="A39" s="136"/>
      <c r="B39" s="6" t="s">
        <v>119</v>
      </c>
      <c r="C39" s="43" t="s">
        <v>127</v>
      </c>
      <c r="D39" s="33">
        <v>139090</v>
      </c>
      <c r="E39" s="33">
        <v>11112</v>
      </c>
      <c r="F39" s="10">
        <v>68</v>
      </c>
      <c r="G39" s="26"/>
      <c r="H39" s="18"/>
      <c r="I39" s="13">
        <v>0.358</v>
      </c>
      <c r="J39" s="63">
        <f t="shared" si="4"/>
        <v>0</v>
      </c>
      <c r="K39" s="136"/>
      <c r="L39" s="136"/>
      <c r="M39" s="77" t="str">
        <f t="shared" si="5"/>
        <v>0</v>
      </c>
      <c r="N39" s="136"/>
      <c r="O39" s="136">
        <f t="shared" si="6"/>
        <v>0</v>
      </c>
      <c r="P39" s="136"/>
      <c r="Q39" s="136"/>
      <c r="R39" s="136"/>
      <c r="S39" s="136"/>
      <c r="T39" s="136"/>
      <c r="U39" s="136"/>
    </row>
    <row r="40" spans="1:21" ht="13.5" thickBot="1">
      <c r="A40" s="136"/>
      <c r="B40" s="6" t="s">
        <v>120</v>
      </c>
      <c r="C40" s="43" t="s">
        <v>127</v>
      </c>
      <c r="D40" s="33">
        <v>194880</v>
      </c>
      <c r="E40" s="33">
        <v>10371</v>
      </c>
      <c r="F40" s="10">
        <v>147</v>
      </c>
      <c r="G40" s="22"/>
      <c r="H40" s="14"/>
      <c r="I40" s="13">
        <v>0.248</v>
      </c>
      <c r="J40" s="63">
        <f t="shared" si="4"/>
        <v>0</v>
      </c>
      <c r="K40" s="136"/>
      <c r="L40" s="136"/>
      <c r="M40" s="77" t="str">
        <f t="shared" si="5"/>
        <v>0</v>
      </c>
      <c r="N40" s="136"/>
      <c r="O40" s="136">
        <f t="shared" si="6"/>
        <v>0</v>
      </c>
      <c r="P40" s="136"/>
      <c r="Q40" s="136"/>
      <c r="R40" s="136"/>
      <c r="S40" s="136"/>
      <c r="T40" s="136"/>
      <c r="U40" s="136"/>
    </row>
    <row r="41" spans="1:21" ht="13.5" thickBot="1">
      <c r="A41" s="136"/>
      <c r="B41" s="6" t="s">
        <v>120</v>
      </c>
      <c r="C41" s="43" t="s">
        <v>127</v>
      </c>
      <c r="D41" s="33">
        <v>194880</v>
      </c>
      <c r="E41" s="33">
        <v>13890</v>
      </c>
      <c r="F41" s="10">
        <v>80</v>
      </c>
      <c r="G41" s="26"/>
      <c r="H41" s="18"/>
      <c r="I41" s="13">
        <v>0.341</v>
      </c>
      <c r="J41" s="63">
        <f t="shared" si="4"/>
        <v>0</v>
      </c>
      <c r="K41" s="136"/>
      <c r="L41" s="136"/>
      <c r="M41" s="77" t="str">
        <f t="shared" si="5"/>
        <v>0</v>
      </c>
      <c r="N41" s="136"/>
      <c r="O41" s="136">
        <f t="shared" si="6"/>
        <v>0</v>
      </c>
      <c r="P41" s="136"/>
      <c r="Q41" s="136"/>
      <c r="R41" s="136"/>
      <c r="S41" s="136"/>
      <c r="T41" s="136"/>
      <c r="U41" s="136"/>
    </row>
    <row r="42" spans="1:21" ht="13.5" thickBot="1">
      <c r="A42" s="136"/>
      <c r="B42" s="6" t="s">
        <v>121</v>
      </c>
      <c r="C42" s="43" t="s">
        <v>127</v>
      </c>
      <c r="D42" s="33">
        <v>310000</v>
      </c>
      <c r="E42" s="33">
        <v>10408</v>
      </c>
      <c r="F42" s="10">
        <v>150</v>
      </c>
      <c r="G42" s="22"/>
      <c r="H42" s="14"/>
      <c r="I42" s="13">
        <v>0.386</v>
      </c>
      <c r="J42" s="63">
        <f t="shared" si="4"/>
        <v>0</v>
      </c>
      <c r="K42" s="136"/>
      <c r="L42" s="136"/>
      <c r="M42" s="77" t="str">
        <f t="shared" si="5"/>
        <v>0</v>
      </c>
      <c r="N42" s="136"/>
      <c r="O42" s="136">
        <f t="shared" si="6"/>
        <v>0</v>
      </c>
      <c r="P42" s="136"/>
      <c r="Q42" s="136"/>
      <c r="R42" s="136"/>
      <c r="S42" s="136"/>
      <c r="T42" s="136"/>
      <c r="U42" s="136"/>
    </row>
    <row r="43" spans="1:21" ht="13.5" thickBot="1">
      <c r="A43" s="136"/>
      <c r="B43" s="6" t="s">
        <v>122</v>
      </c>
      <c r="C43" s="43" t="s">
        <v>127</v>
      </c>
      <c r="D43" s="33">
        <v>216840</v>
      </c>
      <c r="E43" s="33">
        <v>13446</v>
      </c>
      <c r="F43" s="10">
        <v>113</v>
      </c>
      <c r="G43" s="27"/>
      <c r="H43" s="19"/>
      <c r="I43" s="13">
        <v>0.278</v>
      </c>
      <c r="J43" s="63">
        <f t="shared" si="4"/>
        <v>0</v>
      </c>
      <c r="K43" s="136"/>
      <c r="L43" s="136"/>
      <c r="M43" s="78" t="str">
        <f t="shared" si="5"/>
        <v>0</v>
      </c>
      <c r="N43" s="136"/>
      <c r="O43" s="136">
        <f t="shared" si="6"/>
        <v>0</v>
      </c>
      <c r="P43" s="136"/>
      <c r="Q43" s="136"/>
      <c r="R43" s="136"/>
      <c r="S43" s="136"/>
      <c r="T43" s="136"/>
      <c r="U43" s="136"/>
    </row>
    <row r="44" spans="1:21" ht="13.5" thickBot="1">
      <c r="A44" s="136"/>
      <c r="B44" s="136"/>
      <c r="C44" s="162"/>
      <c r="D44" s="179"/>
      <c r="E44" s="179"/>
      <c r="F44" s="136"/>
      <c r="G44" s="136"/>
      <c r="H44" s="136"/>
      <c r="I44" s="167" t="s">
        <v>54</v>
      </c>
      <c r="J44" s="25">
        <f>SUM(J29:J43)</f>
        <v>0</v>
      </c>
      <c r="K44" s="136"/>
      <c r="L44" s="171" t="s">
        <v>54</v>
      </c>
      <c r="M44" s="82">
        <f>SUM(M29:M43)</f>
        <v>0</v>
      </c>
      <c r="N44" s="136"/>
      <c r="O44" s="136"/>
      <c r="P44" s="136"/>
      <c r="Q44" s="136"/>
      <c r="R44" s="136"/>
      <c r="S44" s="136"/>
      <c r="T44" s="136"/>
      <c r="U44" s="136"/>
    </row>
    <row r="45" spans="1:21" ht="15.75" customHeight="1" thickBot="1">
      <c r="A45" s="136"/>
      <c r="B45" s="177" t="s">
        <v>161</v>
      </c>
      <c r="C45" s="162"/>
      <c r="D45" s="179"/>
      <c r="E45" s="179"/>
      <c r="F45" s="136"/>
      <c r="G45" s="136"/>
      <c r="H45" s="136"/>
      <c r="I45" s="167"/>
      <c r="J45" s="181"/>
      <c r="K45" s="136"/>
      <c r="L45" s="167" t="s">
        <v>54</v>
      </c>
      <c r="M45" s="81">
        <f>M44/1000</f>
        <v>0</v>
      </c>
      <c r="N45" s="136"/>
      <c r="O45" s="136"/>
      <c r="P45" s="136"/>
      <c r="Q45" s="136"/>
      <c r="R45" s="136"/>
      <c r="S45" s="136"/>
      <c r="T45" s="136"/>
      <c r="U45" s="136"/>
    </row>
    <row r="46" spans="1:21" ht="15.75" customHeight="1">
      <c r="A46" s="136"/>
      <c r="B46" s="180" t="s">
        <v>167</v>
      </c>
      <c r="C46" s="162"/>
      <c r="D46" s="179"/>
      <c r="E46" s="179"/>
      <c r="F46" s="136"/>
      <c r="G46" s="136"/>
      <c r="H46" s="136"/>
      <c r="I46" s="167"/>
      <c r="J46" s="181"/>
      <c r="K46" s="136"/>
      <c r="L46" s="136"/>
      <c r="M46" s="106" t="s">
        <v>83</v>
      </c>
      <c r="N46" s="136"/>
      <c r="O46" s="136"/>
      <c r="P46" s="136"/>
      <c r="Q46" s="136"/>
      <c r="R46" s="136"/>
      <c r="S46" s="136"/>
      <c r="T46" s="136"/>
      <c r="U46" s="136"/>
    </row>
    <row r="47" spans="1:21" ht="15.75" customHeight="1">
      <c r="A47" s="136"/>
      <c r="B47" s="178" t="s">
        <v>162</v>
      </c>
      <c r="C47" s="162"/>
      <c r="D47" s="179"/>
      <c r="E47" s="179"/>
      <c r="F47" s="136"/>
      <c r="G47" s="136"/>
      <c r="H47" s="136"/>
      <c r="I47" s="167"/>
      <c r="J47" s="181"/>
      <c r="K47" s="136"/>
      <c r="L47" s="136"/>
      <c r="M47" s="136"/>
      <c r="N47" s="136"/>
      <c r="O47" s="136"/>
      <c r="P47" s="136"/>
      <c r="Q47" s="136"/>
      <c r="R47" s="136"/>
      <c r="S47" s="136"/>
      <c r="T47" s="136"/>
      <c r="U47" s="136"/>
    </row>
    <row r="48" spans="1:21" ht="15.75" customHeight="1">
      <c r="A48" s="136"/>
      <c r="B48" s="178" t="s">
        <v>165</v>
      </c>
      <c r="C48" s="162"/>
      <c r="D48" s="179"/>
      <c r="E48" s="179"/>
      <c r="F48" s="136"/>
      <c r="G48" s="136"/>
      <c r="H48" s="136"/>
      <c r="I48" s="167"/>
      <c r="J48" s="181"/>
      <c r="K48" s="136"/>
      <c r="L48" s="136"/>
      <c r="M48" s="136"/>
      <c r="N48" s="136"/>
      <c r="O48" s="136"/>
      <c r="P48" s="136"/>
      <c r="Q48" s="136"/>
      <c r="R48" s="136"/>
      <c r="S48" s="136"/>
      <c r="T48" s="136"/>
      <c r="U48" s="136"/>
    </row>
    <row r="49" spans="1:21" ht="15.75" customHeight="1">
      <c r="A49" s="136"/>
      <c r="B49" s="180" t="s">
        <v>168</v>
      </c>
      <c r="C49" s="162"/>
      <c r="D49" s="179"/>
      <c r="E49" s="179"/>
      <c r="F49" s="136"/>
      <c r="G49" s="136"/>
      <c r="H49" s="136"/>
      <c r="I49" s="167"/>
      <c r="J49" s="181"/>
      <c r="K49" s="136"/>
      <c r="L49" s="136"/>
      <c r="M49" s="136"/>
      <c r="N49" s="136"/>
      <c r="O49" s="136"/>
      <c r="P49" s="136"/>
      <c r="Q49" s="136"/>
      <c r="R49" s="136"/>
      <c r="S49" s="136"/>
      <c r="T49" s="136"/>
      <c r="U49" s="136"/>
    </row>
    <row r="50" spans="1:21" ht="15.75" customHeight="1">
      <c r="A50" s="136"/>
      <c r="B50" s="178" t="s">
        <v>166</v>
      </c>
      <c r="C50" s="162"/>
      <c r="D50" s="179"/>
      <c r="E50" s="179"/>
      <c r="F50" s="136"/>
      <c r="G50" s="136"/>
      <c r="H50" s="136"/>
      <c r="I50" s="167"/>
      <c r="J50" s="181"/>
      <c r="K50" s="136"/>
      <c r="L50" s="136"/>
      <c r="M50" s="136"/>
      <c r="N50" s="136"/>
      <c r="O50" s="136"/>
      <c r="P50" s="136"/>
      <c r="Q50" s="136"/>
      <c r="R50" s="136"/>
      <c r="S50" s="136"/>
      <c r="T50" s="136"/>
      <c r="U50" s="136"/>
    </row>
    <row r="51" spans="1:21" ht="15.75" customHeight="1">
      <c r="A51" s="136"/>
      <c r="B51" s="178" t="s">
        <v>163</v>
      </c>
      <c r="C51" s="162"/>
      <c r="D51" s="179"/>
      <c r="E51" s="179"/>
      <c r="F51" s="136"/>
      <c r="G51" s="136"/>
      <c r="H51" s="136"/>
      <c r="I51" s="167"/>
      <c r="J51" s="181"/>
      <c r="K51" s="136"/>
      <c r="L51" s="136"/>
      <c r="M51" s="136"/>
      <c r="N51" s="136"/>
      <c r="O51" s="136"/>
      <c r="P51" s="136"/>
      <c r="Q51" s="136"/>
      <c r="R51" s="136"/>
      <c r="S51" s="136"/>
      <c r="T51" s="136"/>
      <c r="U51" s="136"/>
    </row>
    <row r="52" spans="1:21" ht="12.75">
      <c r="A52" s="136"/>
      <c r="B52" s="150"/>
      <c r="C52" s="162"/>
      <c r="D52" s="179"/>
      <c r="E52" s="179"/>
      <c r="F52" s="136"/>
      <c r="G52" s="136"/>
      <c r="H52" s="136"/>
      <c r="I52" s="136"/>
      <c r="J52" s="136"/>
      <c r="K52" s="136"/>
      <c r="L52" s="136"/>
      <c r="M52" s="136"/>
      <c r="N52" s="136"/>
      <c r="O52" s="136"/>
      <c r="P52" s="136"/>
      <c r="Q52" s="136"/>
      <c r="R52" s="136"/>
      <c r="S52" s="136"/>
      <c r="T52" s="136"/>
      <c r="U52" s="136"/>
    </row>
    <row r="53" spans="1:21" ht="31.5" customHeight="1" thickBot="1">
      <c r="A53" s="136"/>
      <c r="C53" s="54" t="s">
        <v>80</v>
      </c>
      <c r="D53" s="58" t="s">
        <v>32</v>
      </c>
      <c r="E53" s="8" t="s">
        <v>180</v>
      </c>
      <c r="F53" s="49" t="s">
        <v>30</v>
      </c>
      <c r="G53" s="136"/>
      <c r="H53" s="136"/>
      <c r="I53" s="136"/>
      <c r="J53" s="136"/>
      <c r="K53" s="136"/>
      <c r="L53" s="136"/>
      <c r="M53" s="136"/>
      <c r="N53" s="136"/>
      <c r="O53" s="136"/>
      <c r="P53" s="136"/>
      <c r="Q53" s="136"/>
      <c r="R53" s="136"/>
      <c r="S53" s="136"/>
      <c r="T53" s="136"/>
      <c r="U53" s="136"/>
    </row>
    <row r="54" spans="1:21" ht="31.5" customHeight="1" thickBot="1">
      <c r="A54" s="136"/>
      <c r="B54" s="31" t="s">
        <v>443</v>
      </c>
      <c r="C54" s="55" t="s">
        <v>81</v>
      </c>
      <c r="D54" s="59" t="s">
        <v>0</v>
      </c>
      <c r="E54" s="28" t="s">
        <v>125</v>
      </c>
      <c r="F54" s="50" t="s">
        <v>1</v>
      </c>
      <c r="G54" s="136"/>
      <c r="H54" s="136"/>
      <c r="I54" s="136"/>
      <c r="J54" s="136"/>
      <c r="K54" s="136"/>
      <c r="L54" s="136"/>
      <c r="M54" s="136"/>
      <c r="N54" s="136"/>
      <c r="O54" s="136"/>
      <c r="P54" s="136"/>
      <c r="Q54" s="136"/>
      <c r="R54" s="136"/>
      <c r="S54" s="136"/>
      <c r="T54" s="136"/>
      <c r="U54" s="136"/>
    </row>
    <row r="55" spans="1:21" ht="58.5" customHeight="1">
      <c r="A55" s="136"/>
      <c r="B55" s="168" t="s">
        <v>156</v>
      </c>
      <c r="C55" s="175"/>
      <c r="D55" s="175"/>
      <c r="E55" s="136"/>
      <c r="F55" s="175"/>
      <c r="G55" s="136"/>
      <c r="H55" s="136"/>
      <c r="I55" s="136"/>
      <c r="J55" s="136"/>
      <c r="K55" s="136"/>
      <c r="L55" s="136"/>
      <c r="M55" s="136"/>
      <c r="N55" s="136"/>
      <c r="O55" s="136"/>
      <c r="P55" s="136"/>
      <c r="Q55" s="136"/>
      <c r="R55" s="136"/>
      <c r="S55" s="136"/>
      <c r="T55" s="136"/>
      <c r="U55" s="136"/>
    </row>
    <row r="56" spans="1:21" ht="13.5" thickBot="1">
      <c r="A56" s="136"/>
      <c r="B56" s="7" t="s">
        <v>129</v>
      </c>
      <c r="C56" s="162"/>
      <c r="D56" s="136"/>
      <c r="E56" s="136"/>
      <c r="F56" s="136"/>
      <c r="G56" s="136"/>
      <c r="H56" s="136"/>
      <c r="I56" s="136"/>
      <c r="J56" s="136"/>
      <c r="K56" s="136"/>
      <c r="L56" s="136"/>
      <c r="M56" s="136"/>
      <c r="N56" s="136"/>
      <c r="O56" s="136"/>
      <c r="P56" s="136"/>
      <c r="Q56" s="136"/>
      <c r="R56" s="136"/>
      <c r="S56" s="136"/>
      <c r="T56" s="136"/>
      <c r="U56" s="136"/>
    </row>
    <row r="57" spans="1:21" ht="13.5" thickBot="1">
      <c r="A57" s="136"/>
      <c r="B57" s="6" t="s">
        <v>130</v>
      </c>
      <c r="C57" s="30"/>
      <c r="D57" s="17"/>
      <c r="E57" s="13">
        <v>0.0087</v>
      </c>
      <c r="F57" s="63">
        <f aca="true" t="shared" si="7" ref="F57:F83">(C57*D57*E57)/1000</f>
        <v>0</v>
      </c>
      <c r="G57" s="136"/>
      <c r="H57" s="136"/>
      <c r="I57" s="136"/>
      <c r="J57" s="136"/>
      <c r="K57" s="136"/>
      <c r="L57" s="136"/>
      <c r="M57" s="136"/>
      <c r="N57" s="136"/>
      <c r="O57" s="136"/>
      <c r="P57" s="136"/>
      <c r="Q57" s="136"/>
      <c r="R57" s="136"/>
      <c r="S57" s="136"/>
      <c r="T57" s="136"/>
      <c r="U57" s="136"/>
    </row>
    <row r="58" spans="1:21" ht="13.5" thickBot="1">
      <c r="A58" s="136"/>
      <c r="B58" s="6" t="s">
        <v>131</v>
      </c>
      <c r="C58" s="22"/>
      <c r="D58" s="14"/>
      <c r="E58" s="13">
        <v>0.0034</v>
      </c>
      <c r="F58" s="63">
        <f t="shared" si="7"/>
        <v>0</v>
      </c>
      <c r="G58" s="136"/>
      <c r="H58" s="136"/>
      <c r="I58" s="136"/>
      <c r="J58" s="136"/>
      <c r="K58" s="136"/>
      <c r="L58" s="136"/>
      <c r="M58" s="136"/>
      <c r="N58" s="136"/>
      <c r="O58" s="136"/>
      <c r="P58" s="136"/>
      <c r="Q58" s="136"/>
      <c r="R58" s="136"/>
      <c r="S58" s="136"/>
      <c r="T58" s="136"/>
      <c r="U58" s="136"/>
    </row>
    <row r="59" spans="1:21" ht="13.5" thickBot="1">
      <c r="A59" s="136"/>
      <c r="B59" s="6" t="s">
        <v>132</v>
      </c>
      <c r="C59" s="26"/>
      <c r="D59" s="18"/>
      <c r="E59" s="13">
        <v>0.0051</v>
      </c>
      <c r="F59" s="63">
        <f t="shared" si="7"/>
        <v>0</v>
      </c>
      <c r="G59" s="136"/>
      <c r="H59" s="136"/>
      <c r="I59" s="136"/>
      <c r="J59" s="136"/>
      <c r="K59" s="136"/>
      <c r="L59" s="136"/>
      <c r="M59" s="136"/>
      <c r="N59" s="136"/>
      <c r="O59" s="136"/>
      <c r="P59" s="136"/>
      <c r="Q59" s="136"/>
      <c r="R59" s="136"/>
      <c r="S59" s="136"/>
      <c r="T59" s="136"/>
      <c r="U59" s="136"/>
    </row>
    <row r="60" spans="1:21" ht="13.5" thickBot="1">
      <c r="A60" s="136"/>
      <c r="B60" s="6" t="s">
        <v>148</v>
      </c>
      <c r="C60" s="22"/>
      <c r="D60" s="14"/>
      <c r="E60" s="13">
        <v>0.0186</v>
      </c>
      <c r="F60" s="63">
        <f t="shared" si="7"/>
        <v>0</v>
      </c>
      <c r="G60" s="136"/>
      <c r="H60" s="136"/>
      <c r="I60" s="136"/>
      <c r="J60" s="136"/>
      <c r="K60" s="136"/>
      <c r="L60" s="136"/>
      <c r="M60" s="136"/>
      <c r="N60" s="136"/>
      <c r="O60" s="136"/>
      <c r="P60" s="136"/>
      <c r="Q60" s="136"/>
      <c r="R60" s="136"/>
      <c r="S60" s="136"/>
      <c r="T60" s="136"/>
      <c r="U60" s="136"/>
    </row>
    <row r="61" spans="1:21" ht="13.5" thickBot="1">
      <c r="A61" s="136"/>
      <c r="B61" s="6" t="s">
        <v>133</v>
      </c>
      <c r="C61" s="22"/>
      <c r="D61" s="14"/>
      <c r="E61" s="44">
        <v>0.0103</v>
      </c>
      <c r="F61" s="63">
        <f t="shared" si="7"/>
        <v>0</v>
      </c>
      <c r="G61" s="136"/>
      <c r="H61" s="136"/>
      <c r="I61" s="136"/>
      <c r="J61" s="136"/>
      <c r="K61" s="136"/>
      <c r="L61" s="136"/>
      <c r="M61" s="136"/>
      <c r="N61" s="136"/>
      <c r="O61" s="136"/>
      <c r="P61" s="136"/>
      <c r="Q61" s="136"/>
      <c r="R61" s="136"/>
      <c r="S61" s="136"/>
      <c r="T61" s="136"/>
      <c r="U61" s="136"/>
    </row>
    <row r="62" spans="1:21" ht="13.5" thickBot="1">
      <c r="A62" s="136"/>
      <c r="B62" s="6" t="s">
        <v>134</v>
      </c>
      <c r="C62" s="26"/>
      <c r="D62" s="18"/>
      <c r="E62" s="13">
        <v>0.0094</v>
      </c>
      <c r="F62" s="63">
        <f t="shared" si="7"/>
        <v>0</v>
      </c>
      <c r="G62" s="136"/>
      <c r="H62" s="136"/>
      <c r="I62" s="136"/>
      <c r="J62" s="136"/>
      <c r="K62" s="136"/>
      <c r="L62" s="136"/>
      <c r="M62" s="136"/>
      <c r="N62" s="136"/>
      <c r="O62" s="136"/>
      <c r="P62" s="136"/>
      <c r="Q62" s="136"/>
      <c r="R62" s="136"/>
      <c r="S62" s="136"/>
      <c r="T62" s="136"/>
      <c r="U62" s="136"/>
    </row>
    <row r="63" spans="1:21" ht="13.5" thickBot="1">
      <c r="A63" s="136"/>
      <c r="B63" s="6" t="s">
        <v>154</v>
      </c>
      <c r="C63" s="22"/>
      <c r="D63" s="14"/>
      <c r="E63" s="13">
        <v>0.0142</v>
      </c>
      <c r="F63" s="63">
        <f t="shared" si="7"/>
        <v>0</v>
      </c>
      <c r="G63" s="136"/>
      <c r="H63" s="136"/>
      <c r="I63" s="136"/>
      <c r="J63" s="136"/>
      <c r="K63" s="136"/>
      <c r="L63" s="136"/>
      <c r="M63" s="136"/>
      <c r="N63" s="136"/>
      <c r="O63" s="136"/>
      <c r="P63" s="136"/>
      <c r="Q63" s="136"/>
      <c r="R63" s="136"/>
      <c r="S63" s="136"/>
      <c r="T63" s="136"/>
      <c r="U63" s="136"/>
    </row>
    <row r="64" spans="1:21" ht="13.5" thickBot="1">
      <c r="A64" s="136"/>
      <c r="B64" s="6" t="s">
        <v>135</v>
      </c>
      <c r="C64" s="22"/>
      <c r="D64" s="14"/>
      <c r="E64" s="13">
        <v>0.0055</v>
      </c>
      <c r="F64" s="63">
        <f t="shared" si="7"/>
        <v>0</v>
      </c>
      <c r="G64" s="136"/>
      <c r="H64" s="136"/>
      <c r="I64" s="136"/>
      <c r="J64" s="136"/>
      <c r="K64" s="136"/>
      <c r="L64" s="136"/>
      <c r="M64" s="136"/>
      <c r="N64" s="136"/>
      <c r="O64" s="136"/>
      <c r="P64" s="136"/>
      <c r="Q64" s="136"/>
      <c r="R64" s="136"/>
      <c r="S64" s="136"/>
      <c r="T64" s="136"/>
      <c r="U64" s="136"/>
    </row>
    <row r="65" spans="1:21" ht="13.5" thickBot="1">
      <c r="A65" s="136"/>
      <c r="B65" s="6" t="s">
        <v>136</v>
      </c>
      <c r="C65" s="26"/>
      <c r="D65" s="18"/>
      <c r="E65" s="13">
        <v>0.002</v>
      </c>
      <c r="F65" s="63">
        <f t="shared" si="7"/>
        <v>0</v>
      </c>
      <c r="G65" s="136"/>
      <c r="H65" s="136"/>
      <c r="I65" s="136"/>
      <c r="J65" s="136"/>
      <c r="K65" s="136"/>
      <c r="L65" s="136"/>
      <c r="M65" s="136"/>
      <c r="N65" s="136"/>
      <c r="P65" s="136"/>
      <c r="Q65" s="136"/>
      <c r="R65" s="136"/>
      <c r="S65" s="136"/>
      <c r="T65" s="136"/>
      <c r="U65" s="136"/>
    </row>
    <row r="66" spans="1:21" ht="13.5" thickBot="1">
      <c r="A66" s="136"/>
      <c r="B66" s="6" t="s">
        <v>147</v>
      </c>
      <c r="C66" s="22"/>
      <c r="D66" s="14"/>
      <c r="E66" s="13">
        <v>0.0092</v>
      </c>
      <c r="F66" s="63">
        <f t="shared" si="7"/>
        <v>0</v>
      </c>
      <c r="G66" s="136"/>
      <c r="H66" s="136"/>
      <c r="I66" s="136"/>
      <c r="J66" s="136"/>
      <c r="K66" s="136"/>
      <c r="L66" s="136"/>
      <c r="M66" s="136"/>
      <c r="N66" s="136"/>
      <c r="P66" s="136"/>
      <c r="Q66" s="136"/>
      <c r="R66" s="136"/>
      <c r="S66" s="136"/>
      <c r="T66" s="136"/>
      <c r="U66" s="136"/>
    </row>
    <row r="67" spans="1:21" ht="13.5" thickBot="1">
      <c r="A67" s="136"/>
      <c r="B67" s="6" t="s">
        <v>137</v>
      </c>
      <c r="C67" s="22"/>
      <c r="D67" s="14"/>
      <c r="E67" s="13">
        <v>0.0121</v>
      </c>
      <c r="F67" s="63">
        <f t="shared" si="7"/>
        <v>0</v>
      </c>
      <c r="G67" s="136"/>
      <c r="H67" s="136"/>
      <c r="I67" s="136"/>
      <c r="J67" s="136"/>
      <c r="K67" s="136"/>
      <c r="L67" s="136"/>
      <c r="M67" s="136"/>
      <c r="N67" s="136"/>
      <c r="P67" s="136"/>
      <c r="Q67" s="136"/>
      <c r="R67" s="136"/>
      <c r="S67" s="136"/>
      <c r="T67" s="136"/>
      <c r="U67" s="136"/>
    </row>
    <row r="68" spans="1:21" ht="13.5" thickBot="1">
      <c r="A68" s="136"/>
      <c r="B68" s="6" t="s">
        <v>138</v>
      </c>
      <c r="C68" s="26"/>
      <c r="D68" s="18"/>
      <c r="E68" s="13">
        <v>0.0159</v>
      </c>
      <c r="F68" s="63">
        <f t="shared" si="7"/>
        <v>0</v>
      </c>
      <c r="G68" s="136"/>
      <c r="H68" s="136"/>
      <c r="I68" s="136"/>
      <c r="J68" s="136"/>
      <c r="K68" s="136"/>
      <c r="L68" s="136"/>
      <c r="M68" s="136"/>
      <c r="N68" s="136"/>
      <c r="P68" s="136"/>
      <c r="Q68" s="136"/>
      <c r="R68" s="136"/>
      <c r="S68" s="136"/>
      <c r="T68" s="136"/>
      <c r="U68" s="136"/>
    </row>
    <row r="69" spans="1:21" ht="13.5" thickBot="1">
      <c r="A69" s="136"/>
      <c r="B69" s="6" t="s">
        <v>139</v>
      </c>
      <c r="C69" s="22"/>
      <c r="D69" s="14"/>
      <c r="E69" s="13">
        <v>0.0079</v>
      </c>
      <c r="F69" s="63">
        <f t="shared" si="7"/>
        <v>0</v>
      </c>
      <c r="G69" s="136"/>
      <c r="H69" s="136"/>
      <c r="I69" s="136"/>
      <c r="J69" s="136"/>
      <c r="K69" s="136"/>
      <c r="L69" s="136"/>
      <c r="M69" s="136"/>
      <c r="N69" s="136"/>
      <c r="P69" s="136"/>
      <c r="Q69" s="136"/>
      <c r="R69" s="136"/>
      <c r="S69" s="136"/>
      <c r="T69" s="136"/>
      <c r="U69" s="136"/>
    </row>
    <row r="70" spans="1:21" ht="13.5" thickBot="1">
      <c r="A70" s="136"/>
      <c r="B70" s="6" t="s">
        <v>153</v>
      </c>
      <c r="C70" s="26"/>
      <c r="D70" s="18"/>
      <c r="E70" s="13">
        <v>0.0181</v>
      </c>
      <c r="F70" s="63">
        <f t="shared" si="7"/>
        <v>0</v>
      </c>
      <c r="G70" s="136"/>
      <c r="H70" s="136"/>
      <c r="I70" s="136"/>
      <c r="J70" s="136"/>
      <c r="K70" s="136"/>
      <c r="L70" s="136"/>
      <c r="M70" s="136"/>
      <c r="N70" s="136"/>
      <c r="P70" s="136"/>
      <c r="Q70" s="136"/>
      <c r="R70" s="136"/>
      <c r="S70" s="136"/>
      <c r="T70" s="136"/>
      <c r="U70" s="136"/>
    </row>
    <row r="71" spans="1:21" ht="13.5" thickBot="1">
      <c r="A71" s="136"/>
      <c r="B71" s="6" t="s">
        <v>444</v>
      </c>
      <c r="C71" s="22"/>
      <c r="D71" s="14"/>
      <c r="E71" s="13">
        <v>0.0176</v>
      </c>
      <c r="F71" s="63">
        <f t="shared" si="7"/>
        <v>0</v>
      </c>
      <c r="G71" s="136"/>
      <c r="H71" s="136"/>
      <c r="I71" s="136"/>
      <c r="J71" s="136"/>
      <c r="K71" s="136"/>
      <c r="L71" s="136"/>
      <c r="M71" s="136"/>
      <c r="N71" s="136"/>
      <c r="P71" s="136"/>
      <c r="Q71" s="136"/>
      <c r="R71" s="136"/>
      <c r="S71" s="136"/>
      <c r="T71" s="136"/>
      <c r="U71" s="136"/>
    </row>
    <row r="72" spans="1:21" ht="13.5" thickBot="1">
      <c r="A72" s="136"/>
      <c r="B72" s="6" t="s">
        <v>140</v>
      </c>
      <c r="C72" s="26"/>
      <c r="D72" s="18"/>
      <c r="E72" s="13">
        <v>0.0069</v>
      </c>
      <c r="F72" s="63">
        <f t="shared" si="7"/>
        <v>0</v>
      </c>
      <c r="G72" s="136"/>
      <c r="H72" s="136"/>
      <c r="I72" s="136"/>
      <c r="J72" s="136"/>
      <c r="K72" s="136"/>
      <c r="L72" s="136"/>
      <c r="M72" s="136"/>
      <c r="N72" s="136"/>
      <c r="P72" s="136"/>
      <c r="Q72" s="136"/>
      <c r="R72" s="136"/>
      <c r="S72" s="136"/>
      <c r="T72" s="136"/>
      <c r="U72" s="136"/>
    </row>
    <row r="73" spans="1:21" ht="13.5" thickBot="1">
      <c r="A73" s="136"/>
      <c r="B73" s="6" t="s">
        <v>141</v>
      </c>
      <c r="C73" s="22"/>
      <c r="D73" s="14"/>
      <c r="E73" s="13">
        <v>0.0022</v>
      </c>
      <c r="F73" s="63">
        <f t="shared" si="7"/>
        <v>0</v>
      </c>
      <c r="G73" s="136"/>
      <c r="H73" s="136"/>
      <c r="I73" s="136"/>
      <c r="J73" s="136"/>
      <c r="K73" s="136"/>
      <c r="L73" s="136"/>
      <c r="M73" s="136"/>
      <c r="N73" s="136"/>
      <c r="P73" s="136"/>
      <c r="Q73" s="136"/>
      <c r="R73" s="136"/>
      <c r="S73" s="136"/>
      <c r="T73" s="136"/>
      <c r="U73" s="136"/>
    </row>
    <row r="74" spans="1:21" ht="13.5" thickBot="1">
      <c r="A74" s="136"/>
      <c r="B74" s="6" t="s">
        <v>142</v>
      </c>
      <c r="C74" s="26"/>
      <c r="D74" s="18"/>
      <c r="E74" s="13">
        <v>0.0083</v>
      </c>
      <c r="F74" s="63">
        <f t="shared" si="7"/>
        <v>0</v>
      </c>
      <c r="G74" s="136"/>
      <c r="H74" s="136"/>
      <c r="I74" s="136"/>
      <c r="J74" s="136"/>
      <c r="K74" s="136"/>
      <c r="L74" s="136"/>
      <c r="M74" s="136"/>
      <c r="N74" s="136"/>
      <c r="P74" s="136"/>
      <c r="Q74" s="136"/>
      <c r="R74" s="136"/>
      <c r="S74" s="136"/>
      <c r="T74" s="136"/>
      <c r="U74" s="136"/>
    </row>
    <row r="75" spans="1:21" ht="13.5" thickBot="1">
      <c r="A75" s="136"/>
      <c r="B75" s="6" t="s">
        <v>155</v>
      </c>
      <c r="C75" s="22"/>
      <c r="D75" s="14"/>
      <c r="E75" s="13">
        <v>0.0179</v>
      </c>
      <c r="F75" s="63">
        <f t="shared" si="7"/>
        <v>0</v>
      </c>
      <c r="G75" s="136"/>
      <c r="H75" s="136"/>
      <c r="I75" s="136"/>
      <c r="J75" s="136"/>
      <c r="K75" s="136"/>
      <c r="L75" s="136"/>
      <c r="M75" s="136"/>
      <c r="N75" s="136"/>
      <c r="P75" s="136"/>
      <c r="Q75" s="136"/>
      <c r="R75" s="136"/>
      <c r="S75" s="136"/>
      <c r="T75" s="136"/>
      <c r="U75" s="136"/>
    </row>
    <row r="76" spans="1:21" ht="13.5" thickBot="1">
      <c r="A76" s="136"/>
      <c r="B76" s="6" t="s">
        <v>143</v>
      </c>
      <c r="C76" s="22"/>
      <c r="D76" s="14"/>
      <c r="E76" s="13">
        <v>0.0121</v>
      </c>
      <c r="F76" s="63">
        <f t="shared" si="7"/>
        <v>0</v>
      </c>
      <c r="G76" s="136"/>
      <c r="H76" s="136"/>
      <c r="I76" s="136"/>
      <c r="J76" s="136"/>
      <c r="K76" s="136"/>
      <c r="L76" s="136"/>
      <c r="M76" s="136"/>
      <c r="N76" s="136"/>
      <c r="P76" s="136"/>
      <c r="Q76" s="136"/>
      <c r="R76" s="136"/>
      <c r="S76" s="136"/>
      <c r="T76" s="136"/>
      <c r="U76" s="136"/>
    </row>
    <row r="77" spans="1:21" ht="13.5" thickBot="1">
      <c r="A77" s="136"/>
      <c r="B77" s="6" t="s">
        <v>149</v>
      </c>
      <c r="C77" s="27"/>
      <c r="D77" s="19"/>
      <c r="E77" s="13">
        <v>0.0132</v>
      </c>
      <c r="F77" s="63">
        <f t="shared" si="7"/>
        <v>0</v>
      </c>
      <c r="G77" s="136"/>
      <c r="H77" s="136"/>
      <c r="I77" s="136"/>
      <c r="J77" s="136"/>
      <c r="K77" s="136"/>
      <c r="L77" s="136"/>
      <c r="M77" s="136"/>
      <c r="N77" s="136"/>
      <c r="P77" s="136"/>
      <c r="Q77" s="136"/>
      <c r="R77" s="136"/>
      <c r="S77" s="136"/>
      <c r="T77" s="136"/>
      <c r="U77" s="136"/>
    </row>
    <row r="78" spans="1:21" ht="13.5" thickBot="1">
      <c r="A78" s="136"/>
      <c r="B78" s="6" t="s">
        <v>152</v>
      </c>
      <c r="C78" s="27"/>
      <c r="D78" s="19"/>
      <c r="E78" s="13">
        <v>0.0188</v>
      </c>
      <c r="F78" s="63">
        <f t="shared" si="7"/>
        <v>0</v>
      </c>
      <c r="G78" s="136"/>
      <c r="H78" s="136"/>
      <c r="I78" s="136"/>
      <c r="J78" s="136"/>
      <c r="K78" s="136"/>
      <c r="L78" s="136"/>
      <c r="M78" s="136"/>
      <c r="N78" s="136"/>
      <c r="P78" s="136"/>
      <c r="Q78" s="136"/>
      <c r="R78" s="136"/>
      <c r="S78" s="136"/>
      <c r="T78" s="136"/>
      <c r="U78" s="136"/>
    </row>
    <row r="79" spans="1:21" ht="13.5" thickBot="1">
      <c r="A79" s="136"/>
      <c r="B79" s="6" t="s">
        <v>144</v>
      </c>
      <c r="C79" s="27"/>
      <c r="D79" s="19"/>
      <c r="E79" s="13">
        <v>0.0112</v>
      </c>
      <c r="F79" s="63">
        <f t="shared" si="7"/>
        <v>0</v>
      </c>
      <c r="G79" s="136"/>
      <c r="H79" s="136"/>
      <c r="I79" s="136"/>
      <c r="J79" s="136"/>
      <c r="K79" s="136"/>
      <c r="L79" s="136"/>
      <c r="M79" s="136"/>
      <c r="N79" s="136"/>
      <c r="P79" s="136"/>
      <c r="Q79" s="136"/>
      <c r="R79" s="136"/>
      <c r="S79" s="136"/>
      <c r="T79" s="136"/>
      <c r="U79" s="136"/>
    </row>
    <row r="80" spans="1:21" ht="13.5" thickBot="1">
      <c r="A80" s="136"/>
      <c r="B80" s="6" t="s">
        <v>150</v>
      </c>
      <c r="C80" s="27"/>
      <c r="D80" s="19"/>
      <c r="E80" s="13">
        <v>0.0134</v>
      </c>
      <c r="F80" s="63">
        <f t="shared" si="7"/>
        <v>0</v>
      </c>
      <c r="G80" s="136"/>
      <c r="H80" s="136"/>
      <c r="I80" s="136"/>
      <c r="J80" s="136"/>
      <c r="K80" s="136"/>
      <c r="L80" s="136"/>
      <c r="M80" s="136"/>
      <c r="N80" s="136"/>
      <c r="P80" s="136"/>
      <c r="Q80" s="136"/>
      <c r="R80" s="136"/>
      <c r="S80" s="136"/>
      <c r="T80" s="136"/>
      <c r="U80" s="136"/>
    </row>
    <row r="81" spans="1:21" ht="13.5" thickBot="1">
      <c r="A81" s="136"/>
      <c r="B81" s="6" t="s">
        <v>151</v>
      </c>
      <c r="C81" s="27"/>
      <c r="D81" s="19"/>
      <c r="E81" s="13">
        <v>0.0114</v>
      </c>
      <c r="F81" s="63">
        <f t="shared" si="7"/>
        <v>0</v>
      </c>
      <c r="G81" s="136"/>
      <c r="H81" s="136"/>
      <c r="I81" s="136"/>
      <c r="J81" s="136"/>
      <c r="K81" s="136"/>
      <c r="L81" s="136"/>
      <c r="M81" s="136"/>
      <c r="N81" s="136"/>
      <c r="P81" s="136"/>
      <c r="Q81" s="136"/>
      <c r="R81" s="136"/>
      <c r="S81" s="136"/>
      <c r="T81" s="136"/>
      <c r="U81" s="136"/>
    </row>
    <row r="82" spans="1:21" ht="13.5" thickBot="1">
      <c r="A82" s="136"/>
      <c r="B82" s="6" t="s">
        <v>145</v>
      </c>
      <c r="C82" s="27"/>
      <c r="D82" s="19"/>
      <c r="E82" s="13">
        <v>0.0012</v>
      </c>
      <c r="F82" s="63">
        <f t="shared" si="7"/>
        <v>0</v>
      </c>
      <c r="G82" s="136"/>
      <c r="H82" s="136"/>
      <c r="I82" s="136"/>
      <c r="J82" s="136"/>
      <c r="K82" s="136"/>
      <c r="L82" s="136"/>
      <c r="M82" s="136"/>
      <c r="N82" s="136"/>
      <c r="P82" s="136"/>
      <c r="Q82" s="136"/>
      <c r="R82" s="136"/>
      <c r="S82" s="136"/>
      <c r="T82" s="136"/>
      <c r="U82" s="136"/>
    </row>
    <row r="83" spans="1:21" ht="13.5" thickBot="1">
      <c r="A83" s="136"/>
      <c r="B83" s="6" t="s">
        <v>146</v>
      </c>
      <c r="C83" s="27"/>
      <c r="D83" s="19"/>
      <c r="E83" s="13">
        <v>0.001</v>
      </c>
      <c r="F83" s="63">
        <f t="shared" si="7"/>
        <v>0</v>
      </c>
      <c r="G83" s="136"/>
      <c r="H83" s="136"/>
      <c r="I83" s="136"/>
      <c r="J83" s="136"/>
      <c r="K83" s="136"/>
      <c r="L83" s="136"/>
      <c r="M83" s="136"/>
      <c r="N83" s="136"/>
      <c r="P83" s="136"/>
      <c r="Q83" s="136"/>
      <c r="R83" s="136"/>
      <c r="S83" s="136"/>
      <c r="T83" s="136"/>
      <c r="U83" s="136"/>
    </row>
    <row r="84" spans="1:21" ht="13.5" thickBot="1">
      <c r="A84" s="136"/>
      <c r="B84" s="136"/>
      <c r="C84" s="136"/>
      <c r="D84" s="136"/>
      <c r="E84" s="167" t="s">
        <v>54</v>
      </c>
      <c r="F84" s="25">
        <f>SUM(F57:F83)</f>
        <v>0</v>
      </c>
      <c r="G84" s="136"/>
      <c r="H84" s="136"/>
      <c r="I84" s="136"/>
      <c r="J84" s="136"/>
      <c r="K84" s="136"/>
      <c r="L84" s="136"/>
      <c r="M84" s="136"/>
      <c r="N84" s="136"/>
      <c r="P84" s="136"/>
      <c r="Q84" s="136"/>
      <c r="R84" s="136"/>
      <c r="S84" s="136"/>
      <c r="T84" s="136"/>
      <c r="U84" s="136"/>
    </row>
    <row r="85" spans="1:21" ht="15.75" customHeight="1">
      <c r="A85" s="136"/>
      <c r="B85" s="177" t="s">
        <v>445</v>
      </c>
      <c r="C85" s="136"/>
      <c r="D85" s="136"/>
      <c r="E85" s="136"/>
      <c r="F85" s="136"/>
      <c r="G85" s="136"/>
      <c r="H85" s="136"/>
      <c r="I85" s="136"/>
      <c r="J85" s="136"/>
      <c r="K85" s="136"/>
      <c r="L85" s="136"/>
      <c r="M85" s="136"/>
      <c r="N85" s="136"/>
      <c r="P85" s="136"/>
      <c r="Q85" s="136"/>
      <c r="R85" s="136"/>
      <c r="S85" s="136"/>
      <c r="T85" s="136"/>
      <c r="U85" s="136"/>
    </row>
    <row r="86" spans="1:21" ht="15.75" customHeight="1">
      <c r="A86" s="136"/>
      <c r="B86" s="180" t="s">
        <v>164</v>
      </c>
      <c r="C86" s="136"/>
      <c r="D86" s="136"/>
      <c r="E86" s="136"/>
      <c r="F86" s="136"/>
      <c r="G86" s="136"/>
      <c r="H86" s="136"/>
      <c r="I86" s="136"/>
      <c r="J86" s="136"/>
      <c r="K86" s="136"/>
      <c r="L86" s="136"/>
      <c r="M86" s="136"/>
      <c r="N86" s="136"/>
      <c r="P86" s="136"/>
      <c r="Q86" s="136"/>
      <c r="R86" s="136"/>
      <c r="S86" s="136"/>
      <c r="T86" s="136"/>
      <c r="U86" s="136"/>
    </row>
    <row r="87" spans="1:21" ht="15.75" customHeight="1">
      <c r="A87" s="136"/>
      <c r="B87" s="178" t="s">
        <v>157</v>
      </c>
      <c r="C87" s="136"/>
      <c r="D87" s="136"/>
      <c r="E87" s="136"/>
      <c r="F87" s="136"/>
      <c r="G87" s="136"/>
      <c r="H87" s="136"/>
      <c r="I87" s="136"/>
      <c r="J87" s="136"/>
      <c r="K87" s="136"/>
      <c r="L87" s="136"/>
      <c r="M87" s="136"/>
      <c r="N87" s="136"/>
      <c r="P87" s="136"/>
      <c r="Q87" s="136"/>
      <c r="R87" s="136"/>
      <c r="S87" s="136"/>
      <c r="T87" s="136"/>
      <c r="U87" s="136"/>
    </row>
    <row r="88" spans="1:21" ht="15.75" customHeight="1">
      <c r="A88" s="136"/>
      <c r="B88" s="178" t="s">
        <v>158</v>
      </c>
      <c r="C88" s="136"/>
      <c r="D88" s="136"/>
      <c r="E88" s="136"/>
      <c r="F88" s="136"/>
      <c r="G88" s="136"/>
      <c r="H88" s="136"/>
      <c r="I88" s="136"/>
      <c r="J88" s="136"/>
      <c r="K88" s="136"/>
      <c r="L88" s="136"/>
      <c r="M88" s="136"/>
      <c r="N88" s="136"/>
      <c r="P88" s="136"/>
      <c r="Q88" s="136"/>
      <c r="R88" s="136"/>
      <c r="S88" s="136"/>
      <c r="T88" s="136"/>
      <c r="U88" s="136"/>
    </row>
    <row r="89" spans="1:21" ht="15.75" customHeight="1">
      <c r="A89" s="136"/>
      <c r="B89" s="178" t="s">
        <v>159</v>
      </c>
      <c r="C89" s="136"/>
      <c r="D89" s="136"/>
      <c r="E89" s="136"/>
      <c r="F89" s="136"/>
      <c r="G89" s="136"/>
      <c r="H89" s="136"/>
      <c r="I89" s="136"/>
      <c r="J89" s="136"/>
      <c r="K89" s="136"/>
      <c r="L89" s="136"/>
      <c r="M89" s="136"/>
      <c r="N89" s="136"/>
      <c r="P89" s="136"/>
      <c r="Q89" s="136"/>
      <c r="R89" s="136"/>
      <c r="S89" s="136"/>
      <c r="T89" s="136"/>
      <c r="U89" s="136"/>
    </row>
    <row r="90" spans="1:21" ht="12.75">
      <c r="A90" s="136"/>
      <c r="B90" s="136"/>
      <c r="C90" s="136"/>
      <c r="D90" s="136"/>
      <c r="E90" s="136"/>
      <c r="F90" s="136"/>
      <c r="G90" s="136"/>
      <c r="H90" s="136"/>
      <c r="I90" s="136"/>
      <c r="J90" s="136"/>
      <c r="K90" s="136"/>
      <c r="L90" s="136"/>
      <c r="M90" s="136"/>
      <c r="N90" s="136"/>
      <c r="Q90" s="136"/>
      <c r="R90" s="136"/>
      <c r="S90" s="136"/>
      <c r="T90" s="136"/>
      <c r="U90" s="136"/>
    </row>
    <row r="91" spans="1:21" ht="47.25" customHeight="1" thickBot="1">
      <c r="A91" s="136"/>
      <c r="C91" s="37" t="s">
        <v>174</v>
      </c>
      <c r="D91" s="67" t="s">
        <v>176</v>
      </c>
      <c r="E91" s="37" t="s">
        <v>189</v>
      </c>
      <c r="F91" s="37" t="s">
        <v>178</v>
      </c>
      <c r="G91" s="37" t="s">
        <v>182</v>
      </c>
      <c r="H91" s="37" t="s">
        <v>186</v>
      </c>
      <c r="I91" s="69" t="s">
        <v>187</v>
      </c>
      <c r="J91" s="71" t="s">
        <v>80</v>
      </c>
      <c r="K91" s="54" t="s">
        <v>80</v>
      </c>
      <c r="L91" s="56" t="s">
        <v>185</v>
      </c>
      <c r="M91" s="65" t="s">
        <v>184</v>
      </c>
      <c r="N91" s="49" t="s">
        <v>30</v>
      </c>
      <c r="P91" s="136"/>
      <c r="Q91" s="75" t="s">
        <v>195</v>
      </c>
      <c r="R91" s="75" t="s">
        <v>196</v>
      </c>
      <c r="S91" s="136"/>
      <c r="T91" s="136"/>
      <c r="U91" s="136"/>
    </row>
    <row r="92" spans="1:21" ht="18.75" customHeight="1" thickBot="1">
      <c r="A92" s="136"/>
      <c r="B92" s="31" t="s">
        <v>170</v>
      </c>
      <c r="C92" s="41" t="s">
        <v>175</v>
      </c>
      <c r="D92" s="66" t="s">
        <v>177</v>
      </c>
      <c r="E92" s="38" t="s">
        <v>190</v>
      </c>
      <c r="F92" s="38" t="s">
        <v>179</v>
      </c>
      <c r="G92" s="38" t="s">
        <v>179</v>
      </c>
      <c r="H92" s="38" t="s">
        <v>81</v>
      </c>
      <c r="I92" s="70" t="s">
        <v>188</v>
      </c>
      <c r="J92" s="72" t="s">
        <v>81</v>
      </c>
      <c r="K92" s="55" t="s">
        <v>198</v>
      </c>
      <c r="L92" s="57" t="s">
        <v>175</v>
      </c>
      <c r="M92" s="38" t="s">
        <v>183</v>
      </c>
      <c r="N92" s="50" t="s">
        <v>1</v>
      </c>
      <c r="P92" s="136"/>
      <c r="Q92" s="76" t="s">
        <v>0</v>
      </c>
      <c r="R92" s="76" t="s">
        <v>0</v>
      </c>
      <c r="S92" s="136"/>
      <c r="T92" s="136"/>
      <c r="U92" s="136"/>
    </row>
    <row r="93" spans="1:21" ht="31.5" customHeight="1">
      <c r="A93" s="136"/>
      <c r="B93" s="168" t="s">
        <v>192</v>
      </c>
      <c r="C93" s="174"/>
      <c r="D93" s="174"/>
      <c r="E93" s="136"/>
      <c r="F93" s="174"/>
      <c r="G93" s="174"/>
      <c r="H93" s="174"/>
      <c r="I93" s="136"/>
      <c r="J93" s="174"/>
      <c r="K93" s="172" t="s">
        <v>191</v>
      </c>
      <c r="L93" s="136"/>
      <c r="M93" s="136"/>
      <c r="N93" s="136"/>
      <c r="P93" s="136"/>
      <c r="Q93" s="136"/>
      <c r="R93" s="136"/>
      <c r="S93" s="136"/>
      <c r="T93" s="136"/>
      <c r="U93" s="136"/>
    </row>
    <row r="94" spans="1:21" ht="12.75">
      <c r="A94" s="136"/>
      <c r="B94" s="34" t="s">
        <v>171</v>
      </c>
      <c r="C94" s="174"/>
      <c r="D94" s="174"/>
      <c r="E94" s="136"/>
      <c r="F94" s="174"/>
      <c r="G94" s="174"/>
      <c r="H94" s="174"/>
      <c r="I94" s="136"/>
      <c r="J94" s="174"/>
      <c r="K94" s="174"/>
      <c r="L94" s="136"/>
      <c r="M94" s="136"/>
      <c r="N94" s="136"/>
      <c r="P94" s="136"/>
      <c r="Q94" s="136"/>
      <c r="R94" s="136"/>
      <c r="S94" s="136"/>
      <c r="T94" s="136"/>
      <c r="U94" s="136"/>
    </row>
    <row r="95" spans="1:21" ht="31.5" customHeight="1" thickBot="1">
      <c r="A95" s="136"/>
      <c r="B95" s="47" t="s">
        <v>172</v>
      </c>
      <c r="C95" s="174"/>
      <c r="D95" s="174"/>
      <c r="E95" s="136"/>
      <c r="F95" s="174"/>
      <c r="G95" s="174"/>
      <c r="H95" s="174"/>
      <c r="I95" s="136"/>
      <c r="J95" s="174"/>
      <c r="K95" s="174"/>
      <c r="L95" s="136"/>
      <c r="M95" s="136"/>
      <c r="N95" s="136"/>
      <c r="P95" s="136"/>
      <c r="Q95" s="136"/>
      <c r="R95" s="136"/>
      <c r="S95" s="136"/>
      <c r="T95" s="136"/>
      <c r="U95" s="136"/>
    </row>
    <row r="96" spans="1:21" ht="13.5" thickBot="1">
      <c r="A96" s="136"/>
      <c r="B96" s="46" t="s">
        <v>173</v>
      </c>
      <c r="C96" s="33">
        <v>18300</v>
      </c>
      <c r="D96" s="6">
        <v>16</v>
      </c>
      <c r="E96" s="6">
        <f aca="true" t="shared" si="8" ref="E96:E101">D96*1.852</f>
        <v>29.632</v>
      </c>
      <c r="F96" s="6">
        <v>20</v>
      </c>
      <c r="G96" s="48">
        <v>1.5</v>
      </c>
      <c r="H96" s="6">
        <v>711</v>
      </c>
      <c r="I96" s="6">
        <f aca="true" t="shared" si="9" ref="I96:I101">J96/H96</f>
        <v>0</v>
      </c>
      <c r="J96" s="73">
        <f aca="true" t="shared" si="10" ref="J96:J101">K96*1.852</f>
        <v>0</v>
      </c>
      <c r="K96" s="30"/>
      <c r="L96" s="17"/>
      <c r="M96" s="6">
        <v>21.5</v>
      </c>
      <c r="N96" s="68" t="str">
        <f aca="true" t="shared" si="11" ref="N96:N101">IF(O96=0,"0",(I96*M96*1000)/(C96/L96))</f>
        <v>0</v>
      </c>
      <c r="O96" s="1">
        <f aca="true" t="shared" si="12" ref="O96:O101">COUNT(L96)</f>
        <v>0</v>
      </c>
      <c r="P96" s="136"/>
      <c r="Q96" s="77" t="str">
        <f aca="true" t="shared" si="13" ref="Q96:Q101">IF(O96=0,"0",(I96*F96*1000)/(C96/L96))</f>
        <v>0</v>
      </c>
      <c r="R96" s="77" t="str">
        <f aca="true" t="shared" si="14" ref="R96:R101">IF(O96=0,"0",(I96*G96*1000)/(C96/L96))</f>
        <v>0</v>
      </c>
      <c r="S96" s="136"/>
      <c r="T96" s="136"/>
      <c r="U96" s="136"/>
    </row>
    <row r="97" spans="1:21" ht="13.5" thickBot="1">
      <c r="A97" s="136"/>
      <c r="B97" s="46">
        <v>1000</v>
      </c>
      <c r="C97" s="33">
        <v>36600</v>
      </c>
      <c r="D97" s="6">
        <v>17.5</v>
      </c>
      <c r="E97" s="6">
        <f t="shared" si="8"/>
        <v>32.410000000000004</v>
      </c>
      <c r="F97" s="6">
        <v>30</v>
      </c>
      <c r="G97" s="48">
        <v>1.5</v>
      </c>
      <c r="H97" s="6">
        <v>778</v>
      </c>
      <c r="I97" s="6">
        <f t="shared" si="9"/>
        <v>0</v>
      </c>
      <c r="J97" s="73">
        <f t="shared" si="10"/>
        <v>0</v>
      </c>
      <c r="K97" s="22"/>
      <c r="L97" s="14"/>
      <c r="M97" s="6">
        <v>31.5</v>
      </c>
      <c r="N97" s="68" t="str">
        <f t="shared" si="11"/>
        <v>0</v>
      </c>
      <c r="O97" s="1">
        <f t="shared" si="12"/>
        <v>0</v>
      </c>
      <c r="P97" s="136"/>
      <c r="Q97" s="77" t="str">
        <f t="shared" si="13"/>
        <v>0</v>
      </c>
      <c r="R97" s="77" t="str">
        <f t="shared" si="14"/>
        <v>0</v>
      </c>
      <c r="S97" s="136"/>
      <c r="T97" s="136"/>
      <c r="U97" s="136"/>
    </row>
    <row r="98" spans="1:21" ht="13.5" thickBot="1">
      <c r="A98" s="136"/>
      <c r="B98" s="46">
        <v>1500</v>
      </c>
      <c r="C98" s="36">
        <v>54900</v>
      </c>
      <c r="D98" s="35">
        <v>20</v>
      </c>
      <c r="E98" s="6">
        <f t="shared" si="8"/>
        <v>37.04</v>
      </c>
      <c r="F98" s="35">
        <v>50</v>
      </c>
      <c r="G98" s="36">
        <v>2</v>
      </c>
      <c r="H98" s="35">
        <v>889</v>
      </c>
      <c r="I98" s="6">
        <f t="shared" si="9"/>
        <v>0</v>
      </c>
      <c r="J98" s="73">
        <f t="shared" si="10"/>
        <v>0</v>
      </c>
      <c r="K98" s="26"/>
      <c r="L98" s="14">
        <v>0.031059</v>
      </c>
      <c r="M98" s="35">
        <v>52</v>
      </c>
      <c r="N98" s="68">
        <f t="shared" si="11"/>
        <v>0</v>
      </c>
      <c r="O98" s="1">
        <f t="shared" si="12"/>
        <v>1</v>
      </c>
      <c r="P98" s="136"/>
      <c r="Q98" s="77">
        <f t="shared" si="13"/>
        <v>0</v>
      </c>
      <c r="R98" s="77">
        <f t="shared" si="14"/>
        <v>0</v>
      </c>
      <c r="S98" s="136"/>
      <c r="T98" s="136"/>
      <c r="U98" s="136"/>
    </row>
    <row r="99" spans="1:21" ht="13.5" thickBot="1">
      <c r="A99" s="136"/>
      <c r="B99" s="46">
        <v>2500</v>
      </c>
      <c r="C99" s="33">
        <v>91500</v>
      </c>
      <c r="D99" s="6">
        <v>20.5</v>
      </c>
      <c r="E99" s="6">
        <f t="shared" si="8"/>
        <v>37.966</v>
      </c>
      <c r="F99" s="6">
        <v>70</v>
      </c>
      <c r="G99" s="33">
        <v>2</v>
      </c>
      <c r="H99" s="6">
        <v>911</v>
      </c>
      <c r="I99" s="6">
        <f t="shared" si="9"/>
        <v>0</v>
      </c>
      <c r="J99" s="73">
        <f t="shared" si="10"/>
        <v>0</v>
      </c>
      <c r="K99" s="22"/>
      <c r="L99" s="14">
        <v>0.031059</v>
      </c>
      <c r="M99" s="6">
        <v>72</v>
      </c>
      <c r="N99" s="68">
        <f t="shared" si="11"/>
        <v>0</v>
      </c>
      <c r="O99" s="1">
        <f t="shared" si="12"/>
        <v>1</v>
      </c>
      <c r="P99" s="136"/>
      <c r="Q99" s="77">
        <f t="shared" si="13"/>
        <v>0</v>
      </c>
      <c r="R99" s="77">
        <f t="shared" si="14"/>
        <v>0</v>
      </c>
      <c r="S99" s="136"/>
      <c r="T99" s="136"/>
      <c r="U99" s="136"/>
    </row>
    <row r="100" spans="1:21" ht="13.5" thickBot="1">
      <c r="A100" s="136"/>
      <c r="B100" s="46">
        <v>3500</v>
      </c>
      <c r="C100" s="33">
        <v>128100</v>
      </c>
      <c r="D100" s="6">
        <v>22.5</v>
      </c>
      <c r="E100" s="6">
        <f t="shared" si="8"/>
        <v>41.67</v>
      </c>
      <c r="F100" s="6">
        <v>110</v>
      </c>
      <c r="G100" s="33">
        <v>2</v>
      </c>
      <c r="H100" s="6">
        <v>1000</v>
      </c>
      <c r="I100" s="6">
        <f t="shared" si="9"/>
        <v>0</v>
      </c>
      <c r="J100" s="73">
        <f t="shared" si="10"/>
        <v>0</v>
      </c>
      <c r="K100" s="26"/>
      <c r="L100" s="19"/>
      <c r="M100" s="6">
        <v>112</v>
      </c>
      <c r="N100" s="68" t="str">
        <f t="shared" si="11"/>
        <v>0</v>
      </c>
      <c r="O100" s="1">
        <f t="shared" si="12"/>
        <v>0</v>
      </c>
      <c r="P100" s="136"/>
      <c r="Q100" s="77" t="str">
        <f t="shared" si="13"/>
        <v>0</v>
      </c>
      <c r="R100" s="77" t="str">
        <f t="shared" si="14"/>
        <v>0</v>
      </c>
      <c r="S100" s="136"/>
      <c r="T100" s="136"/>
      <c r="U100" s="136"/>
    </row>
    <row r="101" spans="1:21" ht="13.5" thickBot="1">
      <c r="A101" s="136"/>
      <c r="B101" s="46">
        <v>5000</v>
      </c>
      <c r="C101" s="33">
        <v>183000</v>
      </c>
      <c r="D101" s="6">
        <v>22.5</v>
      </c>
      <c r="E101" s="6">
        <f t="shared" si="8"/>
        <v>41.67</v>
      </c>
      <c r="F101" s="6">
        <v>150</v>
      </c>
      <c r="G101" s="33">
        <v>3</v>
      </c>
      <c r="H101" s="6">
        <v>1000</v>
      </c>
      <c r="I101" s="6">
        <f t="shared" si="9"/>
        <v>0</v>
      </c>
      <c r="J101" s="73">
        <f t="shared" si="10"/>
        <v>0</v>
      </c>
      <c r="K101" s="22"/>
      <c r="L101" s="19"/>
      <c r="M101" s="6">
        <v>153</v>
      </c>
      <c r="N101" s="68" t="str">
        <f t="shared" si="11"/>
        <v>0</v>
      </c>
      <c r="O101" s="1">
        <f t="shared" si="12"/>
        <v>0</v>
      </c>
      <c r="P101" s="136"/>
      <c r="Q101" s="78" t="str">
        <f t="shared" si="13"/>
        <v>0</v>
      </c>
      <c r="R101" s="78" t="str">
        <f t="shared" si="14"/>
        <v>0</v>
      </c>
      <c r="S101" s="136"/>
      <c r="T101" s="136"/>
      <c r="U101" s="136"/>
    </row>
    <row r="102" spans="1:21" ht="13.5" thickBot="1">
      <c r="A102" s="136"/>
      <c r="B102" s="136"/>
      <c r="C102" s="136"/>
      <c r="D102" s="136"/>
      <c r="E102" s="136"/>
      <c r="F102" s="136"/>
      <c r="G102" s="136"/>
      <c r="H102" s="136"/>
      <c r="I102" s="136"/>
      <c r="J102" s="136"/>
      <c r="K102" s="136"/>
      <c r="L102" s="136"/>
      <c r="M102" s="167" t="s">
        <v>54</v>
      </c>
      <c r="N102" s="25">
        <f>SUM(N96:N101)</f>
        <v>0</v>
      </c>
      <c r="P102" s="171" t="s">
        <v>54</v>
      </c>
      <c r="Q102" s="79">
        <f>SUM(Q96:Q101)</f>
        <v>0</v>
      </c>
      <c r="R102" s="79">
        <f>SUM(R96:R101)</f>
        <v>0</v>
      </c>
      <c r="S102" s="136"/>
      <c r="T102" s="136"/>
      <c r="U102" s="136"/>
    </row>
    <row r="103" spans="1:21" ht="15.75" customHeight="1" thickBot="1">
      <c r="A103" s="136"/>
      <c r="B103" s="177" t="s">
        <v>193</v>
      </c>
      <c r="C103" s="136"/>
      <c r="D103" s="136"/>
      <c r="E103" s="136"/>
      <c r="F103" s="136"/>
      <c r="G103" s="136"/>
      <c r="H103" s="136"/>
      <c r="I103" s="136"/>
      <c r="J103" s="136"/>
      <c r="K103" s="136"/>
      <c r="L103" s="167"/>
      <c r="M103" s="181"/>
      <c r="N103" s="136"/>
      <c r="O103" s="136"/>
      <c r="P103" s="167" t="s">
        <v>54</v>
      </c>
      <c r="Q103" s="80">
        <f>Q102/1000</f>
        <v>0</v>
      </c>
      <c r="R103" s="80">
        <f>R102/1000</f>
        <v>0</v>
      </c>
      <c r="S103" s="136"/>
      <c r="T103" s="136"/>
      <c r="U103" s="136"/>
    </row>
    <row r="104" spans="1:21" ht="31.5" customHeight="1">
      <c r="A104" s="136"/>
      <c r="B104" s="180" t="s">
        <v>194</v>
      </c>
      <c r="C104" s="136"/>
      <c r="D104" s="136"/>
      <c r="E104" s="136"/>
      <c r="F104" s="136"/>
      <c r="G104" s="136"/>
      <c r="H104" s="136"/>
      <c r="I104" s="136"/>
      <c r="J104" s="136"/>
      <c r="K104" s="136"/>
      <c r="L104" s="136"/>
      <c r="M104" s="136"/>
      <c r="N104" s="90" t="s">
        <v>30</v>
      </c>
      <c r="P104" s="136"/>
      <c r="Q104" s="85" t="s">
        <v>83</v>
      </c>
      <c r="R104" s="86" t="s">
        <v>83</v>
      </c>
      <c r="S104" s="136"/>
      <c r="T104" s="136"/>
      <c r="U104" s="136"/>
    </row>
    <row r="105" spans="1:21" ht="18.75" customHeight="1" thickBot="1">
      <c r="A105" s="136"/>
      <c r="B105" s="178" t="s">
        <v>446</v>
      </c>
      <c r="C105" s="136"/>
      <c r="D105" s="136"/>
      <c r="E105" s="136"/>
      <c r="F105" s="136"/>
      <c r="G105" s="136"/>
      <c r="H105" s="136"/>
      <c r="I105" s="136"/>
      <c r="J105" s="136"/>
      <c r="K105" s="136"/>
      <c r="L105" s="136"/>
      <c r="M105" s="136"/>
      <c r="N105" s="91" t="s">
        <v>200</v>
      </c>
      <c r="P105" s="136"/>
      <c r="Q105" s="136"/>
      <c r="R105" s="136"/>
      <c r="S105" s="136"/>
      <c r="T105" s="136"/>
      <c r="U105" s="136"/>
    </row>
    <row r="106" spans="1:21" ht="13.5" thickBot="1">
      <c r="A106" s="136"/>
      <c r="B106" s="136"/>
      <c r="C106" s="136"/>
      <c r="D106" s="136"/>
      <c r="E106" s="136"/>
      <c r="F106" s="136"/>
      <c r="G106" s="136"/>
      <c r="H106" s="136"/>
      <c r="I106" s="136"/>
      <c r="J106" s="136"/>
      <c r="K106" s="136"/>
      <c r="L106" s="136"/>
      <c r="M106" s="171" t="s">
        <v>54</v>
      </c>
      <c r="N106" s="5">
        <f>N102+J44+M20+F84</f>
        <v>0</v>
      </c>
      <c r="P106" s="136"/>
      <c r="Q106" s="136"/>
      <c r="R106" s="136"/>
      <c r="S106" s="136"/>
      <c r="U106" s="136"/>
    </row>
    <row r="107" spans="1:21" ht="13.5" thickBot="1">
      <c r="A107" s="136"/>
      <c r="B107" s="136"/>
      <c r="C107" s="136"/>
      <c r="D107" s="136"/>
      <c r="E107" s="136"/>
      <c r="F107" s="136"/>
      <c r="G107" s="136"/>
      <c r="H107" s="136"/>
      <c r="I107" s="136"/>
      <c r="J107" s="136"/>
      <c r="K107" s="136"/>
      <c r="L107" s="136"/>
      <c r="M107" s="136"/>
      <c r="N107" s="53" t="s">
        <v>1</v>
      </c>
      <c r="Q107" s="136"/>
      <c r="R107" s="136"/>
      <c r="S107" s="136"/>
      <c r="T107" s="136"/>
      <c r="U107" s="136"/>
    </row>
    <row r="108" spans="1:21" ht="12.75">
      <c r="A108" s="136"/>
      <c r="B108" s="136"/>
      <c r="C108" s="136"/>
      <c r="D108" s="136"/>
      <c r="E108" s="136"/>
      <c r="F108" s="136"/>
      <c r="G108" s="136"/>
      <c r="H108" s="136"/>
      <c r="I108" s="136"/>
      <c r="J108" s="136"/>
      <c r="K108" s="136"/>
      <c r="L108" s="136"/>
      <c r="M108" s="136"/>
      <c r="N108" s="136"/>
      <c r="O108" s="136"/>
      <c r="P108" s="136"/>
      <c r="Q108" s="136"/>
      <c r="R108" s="136"/>
      <c r="S108" s="136"/>
      <c r="T108" s="136"/>
      <c r="U108" s="136"/>
    </row>
    <row r="109" spans="1:21" ht="12.75">
      <c r="A109" s="136"/>
      <c r="B109" s="136"/>
      <c r="C109" s="136"/>
      <c r="D109" s="136"/>
      <c r="E109" s="136"/>
      <c r="F109" s="136"/>
      <c r="G109" s="136"/>
      <c r="H109" s="136"/>
      <c r="I109" s="136"/>
      <c r="J109" s="136"/>
      <c r="K109" s="136"/>
      <c r="L109" s="136"/>
      <c r="M109" s="136"/>
      <c r="N109" s="136"/>
      <c r="O109" s="136"/>
      <c r="P109" s="136"/>
      <c r="Q109" s="136"/>
      <c r="R109" s="136"/>
      <c r="S109" s="136"/>
      <c r="T109" s="136"/>
      <c r="U109" s="136"/>
    </row>
    <row r="110" spans="1:21" ht="12.75">
      <c r="A110" s="136"/>
      <c r="B110" s="136"/>
      <c r="C110" s="136"/>
      <c r="D110" s="136"/>
      <c r="E110" s="136"/>
      <c r="F110" s="136"/>
      <c r="G110" s="136"/>
      <c r="H110" s="136"/>
      <c r="I110" s="136"/>
      <c r="J110" s="136"/>
      <c r="K110" s="136"/>
      <c r="L110" s="136"/>
      <c r="M110" s="136"/>
      <c r="N110" s="136"/>
      <c r="O110" s="136"/>
      <c r="P110" s="136"/>
      <c r="Q110" s="136"/>
      <c r="R110" s="136"/>
      <c r="S110" s="136"/>
      <c r="T110" s="136"/>
      <c r="U110" s="136"/>
    </row>
    <row r="111" spans="1:21" ht="12.75">
      <c r="A111" s="136"/>
      <c r="B111" s="136"/>
      <c r="C111" s="136"/>
      <c r="D111" s="136"/>
      <c r="E111" s="136"/>
      <c r="F111" s="136"/>
      <c r="G111" s="136"/>
      <c r="H111" s="136"/>
      <c r="I111" s="136"/>
      <c r="J111" s="136"/>
      <c r="K111" s="136"/>
      <c r="L111" s="136"/>
      <c r="M111" s="136"/>
      <c r="N111" s="136"/>
      <c r="O111" s="136"/>
      <c r="P111" s="136"/>
      <c r="Q111" s="136"/>
      <c r="R111" s="136"/>
      <c r="S111" s="136"/>
      <c r="T111" s="136"/>
      <c r="U111" s="136"/>
    </row>
    <row r="112" spans="1:21" ht="12.75">
      <c r="A112" s="136"/>
      <c r="B112" s="136"/>
      <c r="C112" s="136"/>
      <c r="D112" s="136"/>
      <c r="E112" s="136"/>
      <c r="F112" s="136"/>
      <c r="G112" s="136"/>
      <c r="H112" s="136"/>
      <c r="I112" s="136"/>
      <c r="J112" s="136"/>
      <c r="K112" s="136"/>
      <c r="L112" s="136"/>
      <c r="M112" s="136"/>
      <c r="N112" s="136"/>
      <c r="O112" s="136"/>
      <c r="P112" s="136"/>
      <c r="Q112" s="136"/>
      <c r="R112" s="136"/>
      <c r="S112" s="136"/>
      <c r="T112" s="136"/>
      <c r="U112" s="136"/>
    </row>
    <row r="113" spans="1:21" ht="12.75">
      <c r="A113" s="136"/>
      <c r="B113" s="136"/>
      <c r="C113" s="136"/>
      <c r="D113" s="136"/>
      <c r="E113" s="136"/>
      <c r="F113" s="136"/>
      <c r="G113" s="136"/>
      <c r="H113" s="136"/>
      <c r="I113" s="136"/>
      <c r="J113" s="136"/>
      <c r="K113" s="136"/>
      <c r="L113" s="136"/>
      <c r="M113" s="136"/>
      <c r="N113" s="136"/>
      <c r="O113" s="136"/>
      <c r="P113" s="136"/>
      <c r="Q113" s="136"/>
      <c r="R113" s="136"/>
      <c r="S113" s="136"/>
      <c r="T113" s="136"/>
      <c r="U113" s="136"/>
    </row>
    <row r="114" spans="1:21" ht="12.75">
      <c r="A114" s="136"/>
      <c r="B114" s="136"/>
      <c r="C114" s="136"/>
      <c r="D114" s="136"/>
      <c r="E114" s="136"/>
      <c r="F114" s="136"/>
      <c r="G114" s="136"/>
      <c r="H114" s="136"/>
      <c r="I114" s="136"/>
      <c r="J114" s="136"/>
      <c r="K114" s="136"/>
      <c r="L114" s="136"/>
      <c r="M114" s="136"/>
      <c r="N114" s="136"/>
      <c r="O114" s="136"/>
      <c r="P114" s="136"/>
      <c r="Q114" s="136"/>
      <c r="R114" s="136"/>
      <c r="S114" s="136"/>
      <c r="T114" s="136"/>
      <c r="U114" s="136"/>
    </row>
    <row r="115" spans="1:21" ht="12.75">
      <c r="A115" s="136"/>
      <c r="B115" s="136"/>
      <c r="C115" s="136"/>
      <c r="D115" s="136"/>
      <c r="E115" s="136"/>
      <c r="F115" s="136"/>
      <c r="G115" s="136"/>
      <c r="H115" s="136"/>
      <c r="I115" s="136"/>
      <c r="J115" s="136"/>
      <c r="K115" s="136"/>
      <c r="L115" s="136"/>
      <c r="M115" s="136"/>
      <c r="N115" s="136"/>
      <c r="O115" s="136"/>
      <c r="P115" s="136"/>
      <c r="Q115" s="136"/>
      <c r="R115" s="136"/>
      <c r="S115" s="136"/>
      <c r="T115" s="136"/>
      <c r="U115" s="136"/>
    </row>
    <row r="116" spans="1:21" ht="12.75">
      <c r="A116" s="136"/>
      <c r="B116" s="136"/>
      <c r="C116" s="136"/>
      <c r="D116" s="136"/>
      <c r="E116" s="136"/>
      <c r="F116" s="136"/>
      <c r="G116" s="136"/>
      <c r="H116" s="136"/>
      <c r="I116" s="136"/>
      <c r="J116" s="136"/>
      <c r="K116" s="136"/>
      <c r="L116" s="136"/>
      <c r="M116" s="136"/>
      <c r="N116" s="136"/>
      <c r="O116" s="136"/>
      <c r="P116" s="136"/>
      <c r="Q116" s="136"/>
      <c r="R116" s="136"/>
      <c r="S116" s="136"/>
      <c r="T116" s="136"/>
      <c r="U116" s="136"/>
    </row>
    <row r="117" spans="1:21" ht="12.75">
      <c r="A117" s="136"/>
      <c r="B117" s="136"/>
      <c r="C117" s="136"/>
      <c r="D117" s="136"/>
      <c r="E117" s="136"/>
      <c r="F117" s="136"/>
      <c r="G117" s="136"/>
      <c r="H117" s="136"/>
      <c r="I117" s="136"/>
      <c r="J117" s="136"/>
      <c r="K117" s="136"/>
      <c r="L117" s="136"/>
      <c r="M117" s="136"/>
      <c r="N117" s="136"/>
      <c r="O117" s="136"/>
      <c r="P117" s="136"/>
      <c r="Q117" s="136"/>
      <c r="R117" s="136"/>
      <c r="S117" s="136"/>
      <c r="T117" s="136"/>
      <c r="U117" s="136"/>
    </row>
    <row r="118" spans="1:21" ht="12.75">
      <c r="A118" s="136"/>
      <c r="B118" s="136"/>
      <c r="C118" s="136"/>
      <c r="D118" s="136"/>
      <c r="E118" s="136"/>
      <c r="F118" s="136"/>
      <c r="G118" s="136"/>
      <c r="H118" s="136"/>
      <c r="I118" s="136"/>
      <c r="J118" s="136"/>
      <c r="K118" s="136"/>
      <c r="L118" s="136"/>
      <c r="M118" s="136"/>
      <c r="N118" s="136"/>
      <c r="O118" s="136"/>
      <c r="P118" s="136"/>
      <c r="Q118" s="136"/>
      <c r="R118" s="136"/>
      <c r="S118" s="136"/>
      <c r="T118" s="136"/>
      <c r="U118" s="136"/>
    </row>
    <row r="119" spans="1:21" ht="12.75">
      <c r="A119" s="136"/>
      <c r="B119" s="136"/>
      <c r="C119" s="136"/>
      <c r="D119" s="136"/>
      <c r="E119" s="136"/>
      <c r="F119" s="136"/>
      <c r="G119" s="136"/>
      <c r="H119" s="136"/>
      <c r="I119" s="136"/>
      <c r="J119" s="136"/>
      <c r="K119" s="136"/>
      <c r="L119" s="136"/>
      <c r="M119" s="136"/>
      <c r="N119" s="136"/>
      <c r="O119" s="136"/>
      <c r="P119" s="136"/>
      <c r="Q119" s="136"/>
      <c r="R119" s="136"/>
      <c r="S119" s="136"/>
      <c r="T119" s="136"/>
      <c r="U119" s="136"/>
    </row>
    <row r="120" spans="1:21" ht="12.75">
      <c r="A120" s="136"/>
      <c r="B120" s="136"/>
      <c r="C120" s="136"/>
      <c r="D120" s="136"/>
      <c r="E120" s="136"/>
      <c r="F120" s="136"/>
      <c r="G120" s="136"/>
      <c r="H120" s="136"/>
      <c r="I120" s="136"/>
      <c r="J120" s="136"/>
      <c r="K120" s="136"/>
      <c r="L120" s="136"/>
      <c r="M120" s="136"/>
      <c r="N120" s="136"/>
      <c r="O120" s="136"/>
      <c r="P120" s="136"/>
      <c r="Q120" s="136"/>
      <c r="R120" s="136"/>
      <c r="S120" s="136"/>
      <c r="T120" s="136"/>
      <c r="U120" s="136"/>
    </row>
    <row r="121" spans="1:21" ht="12.75">
      <c r="A121" s="136"/>
      <c r="B121" s="136"/>
      <c r="C121" s="136"/>
      <c r="D121" s="136"/>
      <c r="E121" s="136"/>
      <c r="F121" s="136"/>
      <c r="G121" s="136"/>
      <c r="H121" s="136"/>
      <c r="I121" s="136"/>
      <c r="J121" s="136"/>
      <c r="K121" s="136"/>
      <c r="L121" s="136"/>
      <c r="M121" s="136"/>
      <c r="N121" s="136"/>
      <c r="O121" s="136"/>
      <c r="P121" s="136"/>
      <c r="Q121" s="136"/>
      <c r="R121" s="136"/>
      <c r="S121" s="136"/>
      <c r="T121" s="136"/>
      <c r="U121" s="136"/>
    </row>
    <row r="122" spans="1:21" ht="12.75">
      <c r="A122" s="136"/>
      <c r="B122" s="136"/>
      <c r="C122" s="136"/>
      <c r="D122" s="136"/>
      <c r="E122" s="136"/>
      <c r="F122" s="136"/>
      <c r="G122" s="136"/>
      <c r="H122" s="136"/>
      <c r="I122" s="136"/>
      <c r="J122" s="136"/>
      <c r="K122" s="136"/>
      <c r="L122" s="136"/>
      <c r="M122" s="136"/>
      <c r="N122" s="136"/>
      <c r="O122" s="136"/>
      <c r="P122" s="136"/>
      <c r="Q122" s="136"/>
      <c r="R122" s="136"/>
      <c r="S122" s="136"/>
      <c r="T122" s="136"/>
      <c r="U122" s="136"/>
    </row>
    <row r="123" spans="1:21" ht="12.75">
      <c r="A123" s="136"/>
      <c r="B123" s="136"/>
      <c r="C123" s="136"/>
      <c r="D123" s="136"/>
      <c r="E123" s="136"/>
      <c r="F123" s="136"/>
      <c r="G123" s="136"/>
      <c r="H123" s="136"/>
      <c r="I123" s="136"/>
      <c r="J123" s="136"/>
      <c r="K123" s="136"/>
      <c r="L123" s="136"/>
      <c r="M123" s="136"/>
      <c r="N123" s="136"/>
      <c r="O123" s="136"/>
      <c r="P123" s="136"/>
      <c r="Q123" s="136"/>
      <c r="R123" s="136"/>
      <c r="S123" s="136"/>
      <c r="T123" s="136"/>
      <c r="U123" s="136"/>
    </row>
    <row r="124" spans="1:21" ht="12.75">
      <c r="A124" s="136"/>
      <c r="B124" s="136"/>
      <c r="C124" s="136"/>
      <c r="D124" s="136"/>
      <c r="E124" s="136"/>
      <c r="F124" s="136"/>
      <c r="G124" s="136"/>
      <c r="H124" s="136"/>
      <c r="I124" s="136"/>
      <c r="J124" s="136"/>
      <c r="K124" s="136"/>
      <c r="L124" s="136"/>
      <c r="M124" s="136"/>
      <c r="N124" s="136"/>
      <c r="O124" s="136"/>
      <c r="P124" s="136"/>
      <c r="Q124" s="136"/>
      <c r="R124" s="136"/>
      <c r="S124" s="136"/>
      <c r="T124" s="136"/>
      <c r="U124" s="136"/>
    </row>
    <row r="125" spans="1:21" ht="12.75">
      <c r="A125" s="136"/>
      <c r="B125" s="136"/>
      <c r="C125" s="136"/>
      <c r="D125" s="136"/>
      <c r="E125" s="136"/>
      <c r="F125" s="136"/>
      <c r="G125" s="136"/>
      <c r="H125" s="136"/>
      <c r="I125" s="136"/>
      <c r="J125" s="136"/>
      <c r="K125" s="136"/>
      <c r="L125" s="136"/>
      <c r="M125" s="136"/>
      <c r="N125" s="136"/>
      <c r="O125" s="136"/>
      <c r="P125" s="136"/>
      <c r="Q125" s="136"/>
      <c r="R125" s="136"/>
      <c r="S125" s="136"/>
      <c r="T125" s="136"/>
      <c r="U125" s="136"/>
    </row>
    <row r="126" spans="1:21" ht="12.75">
      <c r="A126" s="136"/>
      <c r="B126" s="136"/>
      <c r="C126" s="136"/>
      <c r="D126" s="136"/>
      <c r="E126" s="136"/>
      <c r="F126" s="136"/>
      <c r="G126" s="136"/>
      <c r="H126" s="136"/>
      <c r="I126" s="136"/>
      <c r="J126" s="136"/>
      <c r="K126" s="136"/>
      <c r="L126" s="136"/>
      <c r="M126" s="136"/>
      <c r="N126" s="136"/>
      <c r="O126" s="136"/>
      <c r="P126" s="136"/>
      <c r="Q126" s="136"/>
      <c r="R126" s="136"/>
      <c r="S126" s="136"/>
      <c r="T126" s="136"/>
      <c r="U126" s="136"/>
    </row>
    <row r="127" spans="1:21" ht="12.75">
      <c r="A127" s="136"/>
      <c r="B127" s="136"/>
      <c r="C127" s="136"/>
      <c r="D127" s="136"/>
      <c r="E127" s="136"/>
      <c r="F127" s="136"/>
      <c r="G127" s="136"/>
      <c r="H127" s="136"/>
      <c r="I127" s="136"/>
      <c r="J127" s="136"/>
      <c r="K127" s="136"/>
      <c r="L127" s="136"/>
      <c r="M127" s="136"/>
      <c r="N127" s="136"/>
      <c r="O127" s="136"/>
      <c r="P127" s="136"/>
      <c r="Q127" s="136"/>
      <c r="R127" s="136"/>
      <c r="S127" s="136"/>
      <c r="T127" s="136"/>
      <c r="U127" s="136"/>
    </row>
    <row r="128" spans="1:21" ht="12.75">
      <c r="A128" s="136"/>
      <c r="B128" s="136"/>
      <c r="C128" s="136"/>
      <c r="D128" s="136"/>
      <c r="E128" s="136"/>
      <c r="F128" s="136"/>
      <c r="G128" s="136"/>
      <c r="H128" s="136"/>
      <c r="I128" s="136"/>
      <c r="J128" s="136"/>
      <c r="K128" s="136"/>
      <c r="L128" s="136"/>
      <c r="M128" s="136"/>
      <c r="N128" s="136"/>
      <c r="O128" s="136"/>
      <c r="P128" s="136"/>
      <c r="Q128" s="136"/>
      <c r="R128" s="136"/>
      <c r="S128" s="136"/>
      <c r="T128" s="136"/>
      <c r="U128" s="136"/>
    </row>
    <row r="129" spans="20:21" ht="12.75">
      <c r="T129" s="136"/>
      <c r="U129" s="136"/>
    </row>
  </sheetData>
  <sheetProtection/>
  <hyperlinks>
    <hyperlink ref="B22" r:id="rId1" display="www.viamichelin.fr"/>
    <hyperlink ref="B23" r:id="rId2" display="www.mappy.fr"/>
    <hyperlink ref="B24" r:id="rId3" display="www.infotrafic.fr"/>
    <hyperlink ref="B87" r:id="rId4" display="www.viamichelin.fr"/>
    <hyperlink ref="B88" r:id="rId5" display="www.mappy.fr"/>
    <hyperlink ref="B89" r:id="rId6" display="www.infotrafic.fr"/>
    <hyperlink ref="B48" r:id="rId7" display="www.abm.fr/avion/gvacodapt.html "/>
    <hyperlink ref="B47" r:id="rId8" display="www.amadeus.net"/>
    <hyperlink ref="B50" r:id="rId9" display="http://landings.com/_landings/pages/search/rel-calc.html "/>
    <hyperlink ref="B51" r:id="rId10" display="www.levoyageur.net/distan.php"/>
    <hyperlink ref="B105" r:id="rId11" display="http://www.distances.com/"/>
  </hyperlinks>
  <printOptions/>
  <pageMargins left="0.787401575" right="0.787401575" top="0.984251969" bottom="0.984251969" header="0.4921259845" footer="0.4921259845"/>
  <pageSetup horizontalDpi="600" verticalDpi="600" orientation="landscape" paperSize="8" r:id="rId15"/>
  <drawing r:id="rId14"/>
  <legacyDrawing r:id="rId13"/>
</worksheet>
</file>

<file path=xl/worksheets/sheet6.xml><?xml version="1.0" encoding="utf-8"?>
<worksheet xmlns="http://schemas.openxmlformats.org/spreadsheetml/2006/main" xmlns:r="http://schemas.openxmlformats.org/officeDocument/2006/relationships">
  <dimension ref="A1:N89"/>
  <sheetViews>
    <sheetView zoomScalePageLayoutView="0" workbookViewId="0" topLeftCell="A52">
      <selection activeCell="F15" sqref="F15"/>
    </sheetView>
  </sheetViews>
  <sheetFormatPr defaultColWidth="11.421875" defaultRowHeight="12.75"/>
  <cols>
    <col min="1" max="1" width="3.00390625" style="0" customWidth="1"/>
    <col min="2" max="2" width="73.57421875" style="0" customWidth="1"/>
    <col min="3" max="3" width="16.8515625" style="0" customWidth="1"/>
    <col min="4" max="4" width="16.421875" style="0" customWidth="1"/>
    <col min="5" max="5" width="17.7109375" style="0" customWidth="1"/>
    <col min="6" max="6" width="17.421875" style="0" customWidth="1"/>
    <col min="7" max="7" width="15.421875" style="0" customWidth="1"/>
  </cols>
  <sheetData>
    <row r="1" spans="1:14" ht="18.75" customHeight="1" thickBot="1">
      <c r="A1" s="100" t="s">
        <v>205</v>
      </c>
      <c r="B1" s="101"/>
      <c r="C1" s="136"/>
      <c r="D1" s="136"/>
      <c r="E1" s="136"/>
      <c r="F1" s="136"/>
      <c r="G1" s="136"/>
      <c r="H1" s="130"/>
      <c r="I1" s="130"/>
      <c r="J1" s="130"/>
      <c r="K1" s="130"/>
      <c r="L1" s="130"/>
      <c r="M1" s="130"/>
      <c r="N1" s="130"/>
    </row>
    <row r="2" spans="1:14" ht="31.5" customHeight="1" thickBot="1">
      <c r="A2" s="136"/>
      <c r="B2" s="1"/>
      <c r="C2" s="37" t="s">
        <v>213</v>
      </c>
      <c r="D2" s="54" t="s">
        <v>216</v>
      </c>
      <c r="E2" s="56" t="s">
        <v>214</v>
      </c>
      <c r="F2" s="8" t="s">
        <v>180</v>
      </c>
      <c r="G2" s="49" t="s">
        <v>30</v>
      </c>
      <c r="H2" s="130"/>
      <c r="I2" s="130"/>
      <c r="J2" s="130"/>
      <c r="K2" s="130"/>
      <c r="L2" s="130"/>
      <c r="M2" s="130"/>
      <c r="N2" s="130"/>
    </row>
    <row r="3" spans="1:14" ht="31.5" customHeight="1" thickBot="1">
      <c r="A3" s="136"/>
      <c r="B3" s="31" t="s">
        <v>207</v>
      </c>
      <c r="C3" s="41" t="s">
        <v>215</v>
      </c>
      <c r="D3" s="55" t="s">
        <v>217</v>
      </c>
      <c r="E3" s="57" t="s">
        <v>218</v>
      </c>
      <c r="F3" s="37" t="s">
        <v>212</v>
      </c>
      <c r="G3" s="50" t="s">
        <v>1</v>
      </c>
      <c r="H3" s="130"/>
      <c r="I3" s="130"/>
      <c r="J3" s="130"/>
      <c r="K3" s="130"/>
      <c r="L3" s="130"/>
      <c r="M3" s="130"/>
      <c r="N3" s="130"/>
    </row>
    <row r="4" spans="1:14" ht="31.5" customHeight="1">
      <c r="A4" s="136"/>
      <c r="B4" s="32" t="s">
        <v>208</v>
      </c>
      <c r="C4" s="174"/>
      <c r="D4" s="174"/>
      <c r="E4" s="136"/>
      <c r="F4" s="136"/>
      <c r="G4" s="136"/>
      <c r="H4" s="130"/>
      <c r="I4" s="130"/>
      <c r="J4" s="130"/>
      <c r="K4" s="130"/>
      <c r="L4" s="130"/>
      <c r="M4" s="130"/>
      <c r="N4" s="130"/>
    </row>
    <row r="5" spans="1:14" ht="13.5" thickBot="1">
      <c r="A5" s="136"/>
      <c r="B5" s="34" t="s">
        <v>129</v>
      </c>
      <c r="C5" s="174"/>
      <c r="D5" s="174"/>
      <c r="E5" s="136"/>
      <c r="F5" s="136"/>
      <c r="G5" s="136"/>
      <c r="H5" s="130"/>
      <c r="I5" s="130"/>
      <c r="J5" s="130"/>
      <c r="K5" s="130"/>
      <c r="L5" s="130"/>
      <c r="M5" s="130"/>
      <c r="N5" s="130"/>
    </row>
    <row r="6" spans="1:14" ht="13.5" thickBot="1">
      <c r="A6" s="136"/>
      <c r="B6" s="6" t="s">
        <v>130</v>
      </c>
      <c r="C6" s="6">
        <f aca="true" t="shared" si="0" ref="C6:C11">(E6*365)/1000</f>
        <v>0</v>
      </c>
      <c r="D6" s="30"/>
      <c r="E6" s="17"/>
      <c r="F6" s="13">
        <v>0.141</v>
      </c>
      <c r="G6" s="63">
        <f aca="true" t="shared" si="1" ref="G6:G11">C6*D6*F6</f>
        <v>0</v>
      </c>
      <c r="H6" s="130"/>
      <c r="I6" s="130"/>
      <c r="J6" s="130"/>
      <c r="K6" s="130"/>
      <c r="L6" s="130"/>
      <c r="M6" s="130"/>
      <c r="N6" s="130"/>
    </row>
    <row r="7" spans="1:14" ht="13.5" thickBot="1">
      <c r="A7" s="136"/>
      <c r="B7" s="6" t="s">
        <v>131</v>
      </c>
      <c r="C7" s="6">
        <f t="shared" si="0"/>
        <v>0</v>
      </c>
      <c r="D7" s="22"/>
      <c r="E7" s="14"/>
      <c r="F7" s="13">
        <v>0.056</v>
      </c>
      <c r="G7" s="63">
        <f t="shared" si="1"/>
        <v>0</v>
      </c>
      <c r="H7" s="130"/>
      <c r="I7" s="130"/>
      <c r="J7" s="130"/>
      <c r="K7" s="130"/>
      <c r="L7" s="130"/>
      <c r="M7" s="130"/>
      <c r="N7" s="130"/>
    </row>
    <row r="8" spans="1:14" ht="13.5" thickBot="1">
      <c r="A8" s="136"/>
      <c r="B8" s="6" t="s">
        <v>132</v>
      </c>
      <c r="C8" s="6">
        <f t="shared" si="0"/>
        <v>0</v>
      </c>
      <c r="D8" s="26"/>
      <c r="E8" s="18"/>
      <c r="F8" s="13">
        <v>0.073</v>
      </c>
      <c r="G8" s="63">
        <f t="shared" si="1"/>
        <v>0</v>
      </c>
      <c r="H8" s="130"/>
      <c r="I8" s="130"/>
      <c r="J8" s="130"/>
      <c r="K8" s="130"/>
      <c r="L8" s="130"/>
      <c r="M8" s="130"/>
      <c r="N8" s="130"/>
    </row>
    <row r="9" spans="1:14" ht="13.5" thickBot="1">
      <c r="A9" s="136"/>
      <c r="B9" s="6" t="s">
        <v>133</v>
      </c>
      <c r="C9" s="6">
        <f t="shared" si="0"/>
        <v>0</v>
      </c>
      <c r="D9" s="22"/>
      <c r="E9" s="14"/>
      <c r="F9" s="13">
        <v>0.091</v>
      </c>
      <c r="G9" s="63">
        <f t="shared" si="1"/>
        <v>0</v>
      </c>
      <c r="H9" s="130"/>
      <c r="I9" s="130"/>
      <c r="J9" s="130"/>
      <c r="K9" s="130"/>
      <c r="L9" s="130"/>
      <c r="M9" s="130"/>
      <c r="N9" s="130"/>
    </row>
    <row r="10" spans="1:14" ht="13.5" thickBot="1">
      <c r="A10" s="136"/>
      <c r="B10" s="6" t="s">
        <v>134</v>
      </c>
      <c r="C10" s="6">
        <f t="shared" si="0"/>
        <v>0</v>
      </c>
      <c r="D10" s="26"/>
      <c r="E10" s="19"/>
      <c r="F10" s="13">
        <v>0.117</v>
      </c>
      <c r="G10" s="63">
        <f t="shared" si="1"/>
        <v>0</v>
      </c>
      <c r="H10" s="130"/>
      <c r="I10" s="130"/>
      <c r="J10" s="130"/>
      <c r="K10" s="130"/>
      <c r="L10" s="130"/>
      <c r="M10" s="130"/>
      <c r="N10" s="130"/>
    </row>
    <row r="11" spans="1:14" ht="13.5" thickBot="1">
      <c r="A11" s="136"/>
      <c r="B11" s="6" t="s">
        <v>135</v>
      </c>
      <c r="C11" s="6">
        <f t="shared" si="0"/>
        <v>0</v>
      </c>
      <c r="D11" s="22"/>
      <c r="E11" s="19"/>
      <c r="F11" s="13">
        <v>0.069</v>
      </c>
      <c r="G11" s="63">
        <f t="shared" si="1"/>
        <v>0</v>
      </c>
      <c r="H11" s="130"/>
      <c r="I11" s="130"/>
      <c r="J11" s="130"/>
      <c r="K11" s="130"/>
      <c r="L11" s="130"/>
      <c r="M11" s="130"/>
      <c r="N11" s="130"/>
    </row>
    <row r="12" spans="1:14" ht="13.5" thickBot="1">
      <c r="A12" s="136"/>
      <c r="B12" s="6" t="s">
        <v>136</v>
      </c>
      <c r="C12" s="6">
        <f>(E12*365)/1000</f>
        <v>0</v>
      </c>
      <c r="D12" s="26"/>
      <c r="E12" s="19"/>
      <c r="F12" s="13">
        <v>0.023</v>
      </c>
      <c r="G12" s="63">
        <f>C12*D12*F12</f>
        <v>0</v>
      </c>
      <c r="H12" s="130"/>
      <c r="I12" s="130"/>
      <c r="J12" s="130"/>
      <c r="K12" s="130"/>
      <c r="L12" s="130"/>
      <c r="M12" s="130"/>
      <c r="N12" s="130"/>
    </row>
    <row r="13" spans="1:14" ht="13.5" thickBot="1">
      <c r="A13" s="136"/>
      <c r="B13" s="6" t="s">
        <v>137</v>
      </c>
      <c r="C13" s="6">
        <f aca="true" t="shared" si="2" ref="C13:C24">(E13*365)/1000</f>
        <v>0</v>
      </c>
      <c r="D13" s="22"/>
      <c r="E13" s="19"/>
      <c r="F13" s="13">
        <v>0.222</v>
      </c>
      <c r="G13" s="63">
        <f aca="true" t="shared" si="3" ref="G13:G24">C13*D13*F13</f>
        <v>0</v>
      </c>
      <c r="H13" s="130"/>
      <c r="I13" s="130"/>
      <c r="J13" s="130"/>
      <c r="K13" s="130"/>
      <c r="L13" s="130"/>
      <c r="M13" s="130"/>
      <c r="N13" s="130"/>
    </row>
    <row r="14" spans="1:14" ht="13.5" thickBot="1">
      <c r="A14" s="136"/>
      <c r="B14" s="6" t="s">
        <v>138</v>
      </c>
      <c r="C14" s="6">
        <f t="shared" si="2"/>
        <v>0</v>
      </c>
      <c r="D14" s="26"/>
      <c r="E14" s="19"/>
      <c r="F14" s="13">
        <v>0.176</v>
      </c>
      <c r="G14" s="63">
        <f t="shared" si="3"/>
        <v>0</v>
      </c>
      <c r="H14" s="130"/>
      <c r="I14" s="130"/>
      <c r="J14" s="130"/>
      <c r="K14" s="130"/>
      <c r="L14" s="130"/>
      <c r="M14" s="130"/>
      <c r="N14" s="130"/>
    </row>
    <row r="15" spans="1:14" ht="13.5" thickBot="1">
      <c r="A15" s="136"/>
      <c r="B15" s="6" t="s">
        <v>139</v>
      </c>
      <c r="C15" s="6">
        <f t="shared" si="2"/>
        <v>0</v>
      </c>
      <c r="D15" s="22"/>
      <c r="E15" s="19"/>
      <c r="F15" s="13">
        <v>0.139</v>
      </c>
      <c r="G15" s="63">
        <f t="shared" si="3"/>
        <v>0</v>
      </c>
      <c r="H15" s="130"/>
      <c r="I15" s="130"/>
      <c r="J15" s="130"/>
      <c r="K15" s="130"/>
      <c r="L15" s="130"/>
      <c r="M15" s="130"/>
      <c r="N15" s="130"/>
    </row>
    <row r="16" spans="1:14" ht="13.5" thickBot="1">
      <c r="A16" s="136"/>
      <c r="B16" s="6" t="s">
        <v>140</v>
      </c>
      <c r="C16" s="6">
        <f t="shared" si="2"/>
        <v>0</v>
      </c>
      <c r="D16" s="26"/>
      <c r="E16" s="19"/>
      <c r="F16" s="13">
        <v>0.083</v>
      </c>
      <c r="G16" s="63">
        <f t="shared" si="3"/>
        <v>0</v>
      </c>
      <c r="H16" s="130"/>
      <c r="I16" s="130"/>
      <c r="J16" s="130"/>
      <c r="K16" s="130"/>
      <c r="L16" s="130"/>
      <c r="M16" s="130"/>
      <c r="N16" s="130"/>
    </row>
    <row r="17" spans="1:14" ht="13.5" thickBot="1">
      <c r="A17" s="136"/>
      <c r="B17" s="6" t="s">
        <v>142</v>
      </c>
      <c r="C17" s="6">
        <f t="shared" si="2"/>
        <v>0</v>
      </c>
      <c r="D17" s="22"/>
      <c r="E17" s="19"/>
      <c r="F17" s="13">
        <v>0.12</v>
      </c>
      <c r="G17" s="63">
        <f t="shared" si="3"/>
        <v>0</v>
      </c>
      <c r="H17" s="130"/>
      <c r="I17" s="130"/>
      <c r="J17" s="130"/>
      <c r="K17" s="130"/>
      <c r="L17" s="130"/>
      <c r="M17" s="130"/>
      <c r="N17" s="130"/>
    </row>
    <row r="18" spans="1:14" ht="13.5" thickBot="1">
      <c r="A18" s="136"/>
      <c r="B18" s="6" t="s">
        <v>447</v>
      </c>
      <c r="C18" s="6">
        <f t="shared" si="2"/>
        <v>0</v>
      </c>
      <c r="D18" s="22"/>
      <c r="E18" s="19"/>
      <c r="F18" s="13">
        <v>0.209</v>
      </c>
      <c r="G18" s="63">
        <f t="shared" si="3"/>
        <v>0</v>
      </c>
      <c r="H18" s="130"/>
      <c r="I18" s="130"/>
      <c r="J18" s="130"/>
      <c r="K18" s="130"/>
      <c r="L18" s="130"/>
      <c r="M18" s="130"/>
      <c r="N18" s="130"/>
    </row>
    <row r="19" spans="1:14" ht="13.5" thickBot="1">
      <c r="A19" s="136"/>
      <c r="B19" s="6" t="s">
        <v>143</v>
      </c>
      <c r="C19" s="6">
        <f t="shared" si="2"/>
        <v>0</v>
      </c>
      <c r="D19" s="26"/>
      <c r="E19" s="19"/>
      <c r="F19" s="13">
        <v>0.137</v>
      </c>
      <c r="G19" s="63">
        <f t="shared" si="3"/>
        <v>0</v>
      </c>
      <c r="H19" s="130"/>
      <c r="I19" s="130"/>
      <c r="J19" s="130"/>
      <c r="K19" s="130"/>
      <c r="L19" s="130"/>
      <c r="M19" s="130"/>
      <c r="N19" s="130"/>
    </row>
    <row r="20" spans="1:14" ht="13.5" thickBot="1">
      <c r="A20" s="136"/>
      <c r="B20" s="6" t="s">
        <v>144</v>
      </c>
      <c r="C20" s="6">
        <f t="shared" si="2"/>
        <v>0</v>
      </c>
      <c r="D20" s="22"/>
      <c r="E20" s="19"/>
      <c r="F20" s="13">
        <v>0.124</v>
      </c>
      <c r="G20" s="63">
        <f t="shared" si="3"/>
        <v>0</v>
      </c>
      <c r="H20" s="130"/>
      <c r="I20" s="130"/>
      <c r="J20" s="130"/>
      <c r="K20" s="130"/>
      <c r="L20" s="130"/>
      <c r="M20" s="130"/>
      <c r="N20" s="130"/>
    </row>
    <row r="21" spans="1:14" ht="13.5" thickBot="1">
      <c r="A21" s="136"/>
      <c r="B21" s="6" t="s">
        <v>145</v>
      </c>
      <c r="C21" s="6">
        <f t="shared" si="2"/>
        <v>0</v>
      </c>
      <c r="D21" s="26"/>
      <c r="E21" s="19"/>
      <c r="F21" s="13">
        <v>0.012</v>
      </c>
      <c r="G21" s="63">
        <f t="shared" si="3"/>
        <v>0</v>
      </c>
      <c r="H21" s="130"/>
      <c r="I21" s="130"/>
      <c r="J21" s="130"/>
      <c r="K21" s="130"/>
      <c r="L21" s="130"/>
      <c r="M21" s="130"/>
      <c r="N21" s="130"/>
    </row>
    <row r="22" spans="1:14" ht="13.5" thickBot="1">
      <c r="A22" s="136"/>
      <c r="B22" s="6" t="s">
        <v>209</v>
      </c>
      <c r="C22" s="6">
        <f t="shared" si="2"/>
        <v>0</v>
      </c>
      <c r="D22" s="22"/>
      <c r="E22" s="19"/>
      <c r="F22" s="13">
        <v>0.096</v>
      </c>
      <c r="G22" s="63">
        <f t="shared" si="3"/>
        <v>0</v>
      </c>
      <c r="H22" s="130"/>
      <c r="I22" s="130"/>
      <c r="J22" s="130"/>
      <c r="K22" s="130"/>
      <c r="L22" s="130"/>
      <c r="M22" s="130"/>
      <c r="N22" s="130"/>
    </row>
    <row r="23" spans="1:14" ht="13.5" thickBot="1">
      <c r="A23" s="136"/>
      <c r="B23" s="6" t="s">
        <v>210</v>
      </c>
      <c r="C23" s="6">
        <f t="shared" si="2"/>
        <v>0</v>
      </c>
      <c r="D23" s="26"/>
      <c r="E23" s="19"/>
      <c r="F23" s="13">
        <v>0.158</v>
      </c>
      <c r="G23" s="63">
        <f t="shared" si="3"/>
        <v>0</v>
      </c>
      <c r="H23" s="130"/>
      <c r="I23" s="130"/>
      <c r="J23" s="130"/>
      <c r="K23" s="130"/>
      <c r="L23" s="130"/>
      <c r="M23" s="130"/>
      <c r="N23" s="130"/>
    </row>
    <row r="24" spans="1:14" ht="13.5" thickBot="1">
      <c r="A24" s="136"/>
      <c r="B24" s="6" t="s">
        <v>211</v>
      </c>
      <c r="C24" s="6">
        <f t="shared" si="2"/>
        <v>0</v>
      </c>
      <c r="D24" s="22"/>
      <c r="E24" s="19"/>
      <c r="F24" s="13">
        <v>0.115</v>
      </c>
      <c r="G24" s="63">
        <f t="shared" si="3"/>
        <v>0</v>
      </c>
      <c r="H24" s="130"/>
      <c r="I24" s="130"/>
      <c r="J24" s="130"/>
      <c r="K24" s="130"/>
      <c r="L24" s="130"/>
      <c r="M24" s="130"/>
      <c r="N24" s="130"/>
    </row>
    <row r="25" spans="1:14" ht="13.5" thickBot="1">
      <c r="A25" s="136"/>
      <c r="B25" s="136"/>
      <c r="C25" s="136"/>
      <c r="D25" s="136"/>
      <c r="E25" s="136"/>
      <c r="F25" s="167" t="s">
        <v>54</v>
      </c>
      <c r="G25" s="25">
        <f>SUM(G6:G24)</f>
        <v>0</v>
      </c>
      <c r="H25" s="130"/>
      <c r="I25" s="130"/>
      <c r="J25" s="130"/>
      <c r="K25" s="130"/>
      <c r="L25" s="130"/>
      <c r="M25" s="130"/>
      <c r="N25" s="130"/>
    </row>
    <row r="26" spans="1:14" ht="13.5" thickBot="1">
      <c r="A26" s="130"/>
      <c r="B26" s="130"/>
      <c r="C26" s="130"/>
      <c r="D26" s="130"/>
      <c r="E26" s="130"/>
      <c r="F26" s="130"/>
      <c r="H26" s="130"/>
      <c r="I26" s="130"/>
      <c r="J26" s="130"/>
      <c r="K26" s="130"/>
      <c r="L26" s="130"/>
      <c r="M26" s="130"/>
      <c r="N26" s="130"/>
    </row>
    <row r="27" spans="1:14" ht="47.25" customHeight="1" thickBot="1">
      <c r="A27" s="130"/>
      <c r="B27" s="92" t="s">
        <v>257</v>
      </c>
      <c r="C27" s="37" t="s">
        <v>256</v>
      </c>
      <c r="D27" s="87" t="s">
        <v>216</v>
      </c>
      <c r="E27" s="120" t="s">
        <v>30</v>
      </c>
      <c r="F27" s="130"/>
      <c r="G27" s="90" t="s">
        <v>30</v>
      </c>
      <c r="H27" s="130"/>
      <c r="I27" s="130"/>
      <c r="J27" s="130"/>
      <c r="K27" s="130"/>
      <c r="L27" s="130"/>
      <c r="M27" s="130"/>
      <c r="N27" s="130"/>
    </row>
    <row r="28" spans="1:14" ht="31.5" customHeight="1" thickBot="1">
      <c r="A28" s="130"/>
      <c r="C28" s="38" t="s">
        <v>215</v>
      </c>
      <c r="D28" s="88" t="s">
        <v>217</v>
      </c>
      <c r="E28" s="121" t="s">
        <v>1</v>
      </c>
      <c r="F28" s="130"/>
      <c r="G28" s="91" t="s">
        <v>206</v>
      </c>
      <c r="H28" s="130"/>
      <c r="I28" s="130"/>
      <c r="J28" s="130"/>
      <c r="K28" s="130"/>
      <c r="L28" s="130"/>
      <c r="M28" s="130"/>
      <c r="N28" s="130"/>
    </row>
    <row r="29" spans="1:14" ht="13.5" thickBot="1">
      <c r="A29" s="130"/>
      <c r="B29" s="7" t="s">
        <v>219</v>
      </c>
      <c r="C29" s="130"/>
      <c r="D29" s="130"/>
      <c r="E29" s="182"/>
      <c r="F29" s="171" t="s">
        <v>54</v>
      </c>
      <c r="G29" s="5">
        <f>G25</f>
        <v>0</v>
      </c>
      <c r="H29" s="130"/>
      <c r="I29" s="130"/>
      <c r="J29" s="130"/>
      <c r="K29" s="130"/>
      <c r="L29" s="130"/>
      <c r="M29" s="130"/>
      <c r="N29" s="130"/>
    </row>
    <row r="30" spans="1:14" s="1" customFormat="1" ht="13.5" thickBot="1">
      <c r="A30" s="136"/>
      <c r="B30" s="6" t="s">
        <v>220</v>
      </c>
      <c r="C30" s="6">
        <v>365</v>
      </c>
      <c r="D30" s="89"/>
      <c r="E30" s="123">
        <f>C30*D30*0.023</f>
        <v>0</v>
      </c>
      <c r="F30" s="136"/>
      <c r="G30" s="53" t="s">
        <v>1</v>
      </c>
      <c r="H30" s="136"/>
      <c r="I30" s="136"/>
      <c r="J30" s="136"/>
      <c r="K30" s="136"/>
      <c r="L30" s="136"/>
      <c r="M30" s="136"/>
      <c r="N30" s="136"/>
    </row>
    <row r="31" spans="1:14" s="1" customFormat="1" ht="12.75">
      <c r="A31" s="136"/>
      <c r="B31" s="6" t="s">
        <v>221</v>
      </c>
      <c r="C31" s="6">
        <v>600</v>
      </c>
      <c r="D31" s="89"/>
      <c r="E31" s="123">
        <f aca="true" t="shared" si="4" ref="E31:E65">C31*D31*0.023</f>
        <v>0</v>
      </c>
      <c r="F31" s="136"/>
      <c r="G31" s="136"/>
      <c r="H31" s="136"/>
      <c r="I31" s="136"/>
      <c r="J31" s="136"/>
      <c r="K31" s="136"/>
      <c r="L31" s="136"/>
      <c r="M31" s="136"/>
      <c r="N31" s="136"/>
    </row>
    <row r="32" spans="1:14" s="1" customFormat="1" ht="12.75">
      <c r="A32" s="136"/>
      <c r="B32" s="6" t="s">
        <v>222</v>
      </c>
      <c r="C32" s="6">
        <v>615</v>
      </c>
      <c r="D32" s="89"/>
      <c r="E32" s="123">
        <f t="shared" si="4"/>
        <v>0</v>
      </c>
      <c r="F32" s="136"/>
      <c r="G32" s="136"/>
      <c r="H32" s="136"/>
      <c r="I32" s="136"/>
      <c r="J32" s="136"/>
      <c r="K32" s="136"/>
      <c r="L32" s="136"/>
      <c r="M32" s="136"/>
      <c r="N32" s="136"/>
    </row>
    <row r="33" spans="1:14" s="1" customFormat="1" ht="12.75">
      <c r="A33" s="136"/>
      <c r="B33" s="6" t="s">
        <v>223</v>
      </c>
      <c r="C33" s="6">
        <v>1640</v>
      </c>
      <c r="D33" s="89"/>
      <c r="E33" s="123">
        <f t="shared" si="4"/>
        <v>0</v>
      </c>
      <c r="F33" s="136"/>
      <c r="G33" s="136"/>
      <c r="H33" s="136"/>
      <c r="I33" s="136"/>
      <c r="J33" s="136"/>
      <c r="K33" s="136"/>
      <c r="L33" s="136"/>
      <c r="M33" s="136"/>
      <c r="N33" s="136"/>
    </row>
    <row r="34" spans="1:14" s="1" customFormat="1" ht="12.75">
      <c r="A34" s="136"/>
      <c r="B34" s="6" t="s">
        <v>224</v>
      </c>
      <c r="C34" s="6">
        <v>250</v>
      </c>
      <c r="D34" s="89"/>
      <c r="E34" s="123">
        <f t="shared" si="4"/>
        <v>0</v>
      </c>
      <c r="F34" s="136"/>
      <c r="G34" s="136"/>
      <c r="H34" s="136"/>
      <c r="I34" s="136"/>
      <c r="J34" s="136"/>
      <c r="K34" s="136"/>
      <c r="L34" s="136"/>
      <c r="M34" s="136"/>
      <c r="N34" s="136"/>
    </row>
    <row r="35" spans="1:14" s="1" customFormat="1" ht="12.75">
      <c r="A35" s="136"/>
      <c r="B35" s="6" t="s">
        <v>225</v>
      </c>
      <c r="C35" s="6">
        <v>285</v>
      </c>
      <c r="D35" s="89"/>
      <c r="E35" s="123">
        <f t="shared" si="4"/>
        <v>0</v>
      </c>
      <c r="F35" s="136"/>
      <c r="G35" s="136"/>
      <c r="H35" s="136"/>
      <c r="I35" s="136"/>
      <c r="J35" s="136"/>
      <c r="K35" s="136"/>
      <c r="L35" s="136"/>
      <c r="M35" s="136"/>
      <c r="N35" s="136"/>
    </row>
    <row r="36" spans="1:14" s="1" customFormat="1" ht="12.75">
      <c r="A36" s="136"/>
      <c r="B36" s="6" t="s">
        <v>226</v>
      </c>
      <c r="C36" s="6">
        <v>430</v>
      </c>
      <c r="D36" s="89"/>
      <c r="E36" s="123">
        <f t="shared" si="4"/>
        <v>0</v>
      </c>
      <c r="F36" s="136"/>
      <c r="G36" s="136"/>
      <c r="H36" s="136"/>
      <c r="I36" s="136"/>
      <c r="J36" s="136"/>
      <c r="K36" s="136"/>
      <c r="L36" s="136"/>
      <c r="M36" s="136"/>
      <c r="N36" s="136"/>
    </row>
    <row r="37" spans="1:14" s="1" customFormat="1" ht="12.75">
      <c r="A37" s="136"/>
      <c r="B37" s="6" t="s">
        <v>227</v>
      </c>
      <c r="C37" s="6">
        <v>160</v>
      </c>
      <c r="D37" s="89"/>
      <c r="E37" s="123">
        <f t="shared" si="4"/>
        <v>0</v>
      </c>
      <c r="F37" s="136"/>
      <c r="G37" s="136"/>
      <c r="H37" s="136"/>
      <c r="I37" s="136"/>
      <c r="J37" s="136"/>
      <c r="K37" s="136"/>
      <c r="L37" s="136"/>
      <c r="M37" s="136"/>
      <c r="N37" s="136"/>
    </row>
    <row r="38" spans="1:14" s="1" customFormat="1" ht="12.75">
      <c r="A38" s="136"/>
      <c r="B38" s="6" t="s">
        <v>228</v>
      </c>
      <c r="C38" s="6">
        <v>122</v>
      </c>
      <c r="D38" s="89"/>
      <c r="E38" s="123">
        <f t="shared" si="4"/>
        <v>0</v>
      </c>
      <c r="F38" s="136"/>
      <c r="G38" s="136"/>
      <c r="H38" s="136"/>
      <c r="I38" s="136"/>
      <c r="J38" s="136"/>
      <c r="K38" s="136"/>
      <c r="L38" s="136"/>
      <c r="M38" s="136"/>
      <c r="N38" s="136"/>
    </row>
    <row r="39" spans="1:14" s="1" customFormat="1" ht="12.75">
      <c r="A39" s="136"/>
      <c r="B39" s="6" t="s">
        <v>229</v>
      </c>
      <c r="C39" s="6">
        <v>96</v>
      </c>
      <c r="D39" s="89"/>
      <c r="E39" s="123">
        <f t="shared" si="4"/>
        <v>0</v>
      </c>
      <c r="F39" s="136"/>
      <c r="G39" s="136"/>
      <c r="H39" s="136"/>
      <c r="I39" s="136"/>
      <c r="J39" s="136"/>
      <c r="K39" s="136"/>
      <c r="L39" s="136"/>
      <c r="M39" s="136"/>
      <c r="N39" s="136"/>
    </row>
    <row r="40" spans="1:14" s="1" customFormat="1" ht="12.75">
      <c r="A40" s="136"/>
      <c r="B40" s="6" t="s">
        <v>230</v>
      </c>
      <c r="C40" s="6">
        <v>80</v>
      </c>
      <c r="D40" s="89"/>
      <c r="E40" s="123">
        <f t="shared" si="4"/>
        <v>0</v>
      </c>
      <c r="F40" s="136"/>
      <c r="G40" s="136"/>
      <c r="H40" s="136"/>
      <c r="I40" s="136"/>
      <c r="J40" s="136"/>
      <c r="K40" s="136"/>
      <c r="L40" s="136"/>
      <c r="M40" s="136"/>
      <c r="N40" s="136"/>
    </row>
    <row r="41" spans="1:14" s="1" customFormat="1" ht="12.75">
      <c r="A41" s="136"/>
      <c r="B41" s="6" t="s">
        <v>231</v>
      </c>
      <c r="C41" s="6">
        <v>35</v>
      </c>
      <c r="D41" s="89"/>
      <c r="E41" s="123">
        <f t="shared" si="4"/>
        <v>0</v>
      </c>
      <c r="F41" s="136"/>
      <c r="G41" s="136"/>
      <c r="H41" s="136"/>
      <c r="I41" s="136"/>
      <c r="J41" s="136"/>
      <c r="K41" s="136"/>
      <c r="L41" s="136"/>
      <c r="M41" s="136"/>
      <c r="N41" s="136"/>
    </row>
    <row r="42" spans="1:14" s="1" customFormat="1" ht="12.75">
      <c r="A42" s="136"/>
      <c r="B42" s="6" t="s">
        <v>232</v>
      </c>
      <c r="C42" s="6">
        <v>25</v>
      </c>
      <c r="D42" s="89"/>
      <c r="E42" s="123">
        <f t="shared" si="4"/>
        <v>0</v>
      </c>
      <c r="F42" s="136"/>
      <c r="G42" s="136"/>
      <c r="H42" s="136"/>
      <c r="I42" s="136"/>
      <c r="J42" s="136"/>
      <c r="K42" s="136"/>
      <c r="L42" s="136"/>
      <c r="M42" s="136"/>
      <c r="N42" s="136"/>
    </row>
    <row r="43" spans="1:14" s="1" customFormat="1" ht="12.75">
      <c r="A43" s="136"/>
      <c r="B43" s="6" t="s">
        <v>233</v>
      </c>
      <c r="C43" s="6">
        <v>45</v>
      </c>
      <c r="D43" s="89"/>
      <c r="E43" s="123">
        <f t="shared" si="4"/>
        <v>0</v>
      </c>
      <c r="F43" s="136"/>
      <c r="G43" s="136"/>
      <c r="H43" s="136"/>
      <c r="I43" s="136"/>
      <c r="J43" s="136"/>
      <c r="K43" s="136"/>
      <c r="L43" s="136"/>
      <c r="M43" s="136"/>
      <c r="N43" s="136"/>
    </row>
    <row r="44" spans="1:14" s="1" customFormat="1" ht="12.75">
      <c r="A44" s="136"/>
      <c r="B44" s="6" t="s">
        <v>234</v>
      </c>
      <c r="C44" s="6">
        <v>23</v>
      </c>
      <c r="D44" s="89"/>
      <c r="E44" s="123">
        <f t="shared" si="4"/>
        <v>0</v>
      </c>
      <c r="F44" s="136"/>
      <c r="G44" s="136"/>
      <c r="H44" s="136"/>
      <c r="I44" s="136"/>
      <c r="J44" s="136"/>
      <c r="K44" s="136"/>
      <c r="L44" s="136"/>
      <c r="M44" s="136"/>
      <c r="N44" s="136"/>
    </row>
    <row r="45" spans="1:14" s="1" customFormat="1" ht="12.75">
      <c r="A45" s="136"/>
      <c r="B45" s="6" t="s">
        <v>235</v>
      </c>
      <c r="C45" s="6">
        <v>18</v>
      </c>
      <c r="D45" s="89"/>
      <c r="E45" s="123">
        <f t="shared" si="4"/>
        <v>0</v>
      </c>
      <c r="F45" s="136"/>
      <c r="G45" s="136"/>
      <c r="H45" s="136"/>
      <c r="I45" s="136"/>
      <c r="J45" s="136"/>
      <c r="K45" s="136"/>
      <c r="L45" s="136"/>
      <c r="M45" s="136"/>
      <c r="N45" s="136"/>
    </row>
    <row r="46" spans="1:14" s="1" customFormat="1" ht="12.75">
      <c r="A46" s="136"/>
      <c r="B46" s="6" t="s">
        <v>236</v>
      </c>
      <c r="C46" s="6">
        <v>465</v>
      </c>
      <c r="D46" s="89"/>
      <c r="E46" s="123">
        <f t="shared" si="4"/>
        <v>0</v>
      </c>
      <c r="F46" s="136"/>
      <c r="G46" s="136"/>
      <c r="H46" s="136"/>
      <c r="I46" s="136"/>
      <c r="J46" s="136"/>
      <c r="K46" s="136"/>
      <c r="L46" s="136"/>
      <c r="M46" s="136"/>
      <c r="N46" s="136"/>
    </row>
    <row r="47" spans="1:14" s="1" customFormat="1" ht="12.75">
      <c r="A47" s="136"/>
      <c r="B47" s="6" t="s">
        <v>237</v>
      </c>
      <c r="C47" s="6">
        <v>292</v>
      </c>
      <c r="D47" s="89"/>
      <c r="E47" s="123">
        <f t="shared" si="4"/>
        <v>0</v>
      </c>
      <c r="F47" s="136"/>
      <c r="G47" s="136"/>
      <c r="H47" s="136"/>
      <c r="I47" s="136"/>
      <c r="J47" s="136"/>
      <c r="K47" s="136"/>
      <c r="L47" s="136"/>
      <c r="M47" s="136"/>
      <c r="N47" s="136"/>
    </row>
    <row r="48" spans="1:14" s="1" customFormat="1" ht="12.75">
      <c r="A48" s="136"/>
      <c r="B48" s="6" t="s">
        <v>238</v>
      </c>
      <c r="C48" s="6">
        <v>40</v>
      </c>
      <c r="D48" s="89"/>
      <c r="E48" s="123">
        <f t="shared" si="4"/>
        <v>0</v>
      </c>
      <c r="F48" s="136"/>
      <c r="G48" s="136"/>
      <c r="H48" s="136"/>
      <c r="I48" s="136"/>
      <c r="J48" s="136"/>
      <c r="K48" s="136"/>
      <c r="L48" s="136"/>
      <c r="M48" s="136"/>
      <c r="N48" s="136"/>
    </row>
    <row r="49" spans="1:14" s="1" customFormat="1" ht="12.75">
      <c r="A49" s="136"/>
      <c r="B49" s="6" t="s">
        <v>239</v>
      </c>
      <c r="C49" s="6">
        <v>800</v>
      </c>
      <c r="D49" s="89"/>
      <c r="E49" s="123">
        <f t="shared" si="4"/>
        <v>0</v>
      </c>
      <c r="F49" s="136"/>
      <c r="G49" s="136"/>
      <c r="H49" s="136"/>
      <c r="I49" s="136"/>
      <c r="J49" s="136"/>
      <c r="K49" s="136"/>
      <c r="L49" s="136"/>
      <c r="M49" s="136"/>
      <c r="N49" s="136"/>
    </row>
    <row r="50" spans="1:14" s="1" customFormat="1" ht="12.75">
      <c r="A50" s="136"/>
      <c r="B50" s="6" t="s">
        <v>240</v>
      </c>
      <c r="C50" s="6">
        <v>400</v>
      </c>
      <c r="D50" s="89"/>
      <c r="E50" s="123">
        <f t="shared" si="4"/>
        <v>0</v>
      </c>
      <c r="F50" s="136"/>
      <c r="G50" s="136"/>
      <c r="H50" s="136"/>
      <c r="I50" s="136"/>
      <c r="J50" s="136"/>
      <c r="K50" s="136"/>
      <c r="L50" s="136"/>
      <c r="M50" s="136"/>
      <c r="N50" s="136"/>
    </row>
    <row r="51" spans="1:14" s="1" customFormat="1" ht="12.75">
      <c r="A51" s="136"/>
      <c r="B51" s="6" t="s">
        <v>241</v>
      </c>
      <c r="C51" s="6">
        <v>1500</v>
      </c>
      <c r="D51" s="89"/>
      <c r="E51" s="123">
        <f t="shared" si="4"/>
        <v>0</v>
      </c>
      <c r="F51" s="136"/>
      <c r="G51" s="136"/>
      <c r="H51" s="136"/>
      <c r="I51" s="136"/>
      <c r="J51" s="136"/>
      <c r="K51" s="136"/>
      <c r="L51" s="136"/>
      <c r="M51" s="136"/>
      <c r="N51" s="136"/>
    </row>
    <row r="52" spans="1:14" s="1" customFormat="1" ht="12.75">
      <c r="A52" s="136"/>
      <c r="B52" s="6" t="s">
        <v>242</v>
      </c>
      <c r="C52" s="6">
        <v>311</v>
      </c>
      <c r="D52" s="89"/>
      <c r="E52" s="123">
        <f t="shared" si="4"/>
        <v>0</v>
      </c>
      <c r="F52" s="136"/>
      <c r="G52" s="136"/>
      <c r="H52" s="136"/>
      <c r="I52" s="136"/>
      <c r="J52" s="136"/>
      <c r="K52" s="136"/>
      <c r="L52" s="136"/>
      <c r="M52" s="136"/>
      <c r="N52" s="136"/>
    </row>
    <row r="53" spans="1:14" s="1" customFormat="1" ht="12.75">
      <c r="A53" s="136"/>
      <c r="B53" s="6" t="s">
        <v>243</v>
      </c>
      <c r="C53" s="6">
        <v>568</v>
      </c>
      <c r="D53" s="89"/>
      <c r="E53" s="123">
        <f t="shared" si="4"/>
        <v>0</v>
      </c>
      <c r="F53" s="136"/>
      <c r="G53" s="136"/>
      <c r="H53" s="136"/>
      <c r="I53" s="136"/>
      <c r="J53" s="136"/>
      <c r="K53" s="136"/>
      <c r="L53" s="136"/>
      <c r="M53" s="136"/>
      <c r="N53" s="136"/>
    </row>
    <row r="54" spans="1:14" s="1" customFormat="1" ht="12.75">
      <c r="A54" s="136"/>
      <c r="B54" s="6" t="s">
        <v>244</v>
      </c>
      <c r="C54" s="6">
        <v>224</v>
      </c>
      <c r="D54" s="89"/>
      <c r="E54" s="123">
        <f t="shared" si="4"/>
        <v>0</v>
      </c>
      <c r="F54" s="136"/>
      <c r="G54" s="136"/>
      <c r="H54" s="136"/>
      <c r="I54" s="136"/>
      <c r="J54" s="136"/>
      <c r="K54" s="136"/>
      <c r="L54" s="136"/>
      <c r="M54" s="136"/>
      <c r="N54" s="136"/>
    </row>
    <row r="55" spans="1:14" s="1" customFormat="1" ht="12.75">
      <c r="A55" s="136"/>
      <c r="B55" s="6" t="s">
        <v>245</v>
      </c>
      <c r="C55" s="6">
        <v>457</v>
      </c>
      <c r="D55" s="89"/>
      <c r="E55" s="123">
        <f t="shared" si="4"/>
        <v>0</v>
      </c>
      <c r="F55" s="136"/>
      <c r="G55" s="136"/>
      <c r="H55" s="136"/>
      <c r="I55" s="136"/>
      <c r="J55" s="136"/>
      <c r="K55" s="136"/>
      <c r="L55" s="136"/>
      <c r="M55" s="136"/>
      <c r="N55" s="136"/>
    </row>
    <row r="56" spans="1:14" s="1" customFormat="1" ht="12.75">
      <c r="A56" s="136"/>
      <c r="B56" s="6" t="s">
        <v>246</v>
      </c>
      <c r="C56" s="6">
        <v>281</v>
      </c>
      <c r="D56" s="89"/>
      <c r="E56" s="123">
        <f t="shared" si="4"/>
        <v>0</v>
      </c>
      <c r="F56" s="136"/>
      <c r="G56" s="136"/>
      <c r="H56" s="136"/>
      <c r="I56" s="136"/>
      <c r="J56" s="136"/>
      <c r="K56" s="136"/>
      <c r="L56" s="136"/>
      <c r="M56" s="136"/>
      <c r="N56" s="136"/>
    </row>
    <row r="57" spans="1:14" s="1" customFormat="1" ht="12.75">
      <c r="A57" s="136"/>
      <c r="B57" s="6" t="s">
        <v>247</v>
      </c>
      <c r="C57" s="6">
        <v>337</v>
      </c>
      <c r="D57" s="89"/>
      <c r="E57" s="123">
        <f t="shared" si="4"/>
        <v>0</v>
      </c>
      <c r="F57" s="136"/>
      <c r="G57" s="136"/>
      <c r="H57" s="136"/>
      <c r="I57" s="136"/>
      <c r="J57" s="136"/>
      <c r="K57" s="136"/>
      <c r="L57" s="136"/>
      <c r="M57" s="136"/>
      <c r="N57" s="136"/>
    </row>
    <row r="58" spans="1:14" s="1" customFormat="1" ht="12.75">
      <c r="A58" s="136"/>
      <c r="B58" s="6" t="s">
        <v>248</v>
      </c>
      <c r="C58" s="6">
        <v>273</v>
      </c>
      <c r="D58" s="89"/>
      <c r="E58" s="123">
        <f t="shared" si="4"/>
        <v>0</v>
      </c>
      <c r="F58" s="136"/>
      <c r="G58" s="136"/>
      <c r="H58" s="136"/>
      <c r="I58" s="136"/>
      <c r="J58" s="136"/>
      <c r="K58" s="136"/>
      <c r="L58" s="136"/>
      <c r="M58" s="136"/>
      <c r="N58" s="136"/>
    </row>
    <row r="59" spans="1:14" s="1" customFormat="1" ht="12.75">
      <c r="A59" s="136"/>
      <c r="B59" s="6" t="s">
        <v>249</v>
      </c>
      <c r="C59" s="6">
        <v>60</v>
      </c>
      <c r="D59" s="89"/>
      <c r="E59" s="123">
        <f t="shared" si="4"/>
        <v>0</v>
      </c>
      <c r="F59" s="136"/>
      <c r="G59" s="136"/>
      <c r="H59" s="136"/>
      <c r="I59" s="136"/>
      <c r="J59" s="136"/>
      <c r="K59" s="136"/>
      <c r="L59" s="136"/>
      <c r="M59" s="136"/>
      <c r="N59" s="136"/>
    </row>
    <row r="60" spans="1:14" s="1" customFormat="1" ht="12.75">
      <c r="A60" s="136"/>
      <c r="B60" s="6" t="s">
        <v>250</v>
      </c>
      <c r="C60" s="6">
        <v>99</v>
      </c>
      <c r="D60" s="89"/>
      <c r="E60" s="123">
        <f t="shared" si="4"/>
        <v>0</v>
      </c>
      <c r="F60" s="136"/>
      <c r="G60" s="136"/>
      <c r="H60" s="136"/>
      <c r="I60" s="136"/>
      <c r="J60" s="136"/>
      <c r="K60" s="136"/>
      <c r="L60" s="136"/>
      <c r="M60" s="136"/>
      <c r="N60" s="136"/>
    </row>
    <row r="61" spans="1:14" s="1" customFormat="1" ht="12.75">
      <c r="A61" s="136"/>
      <c r="B61" s="6" t="s">
        <v>251</v>
      </c>
      <c r="C61" s="6">
        <v>31</v>
      </c>
      <c r="D61" s="89"/>
      <c r="E61" s="123">
        <f t="shared" si="4"/>
        <v>0</v>
      </c>
      <c r="F61" s="136"/>
      <c r="G61" s="136"/>
      <c r="H61" s="136"/>
      <c r="I61" s="136"/>
      <c r="J61" s="136"/>
      <c r="K61" s="136"/>
      <c r="L61" s="136"/>
      <c r="M61" s="136"/>
      <c r="N61" s="136"/>
    </row>
    <row r="62" spans="1:14" ht="12.75">
      <c r="A62" s="130"/>
      <c r="B62" s="6" t="s">
        <v>252</v>
      </c>
      <c r="C62" s="6">
        <v>58</v>
      </c>
      <c r="D62" s="89"/>
      <c r="E62" s="123">
        <f t="shared" si="4"/>
        <v>0</v>
      </c>
      <c r="F62" s="130"/>
      <c r="G62" s="130"/>
      <c r="H62" s="130"/>
      <c r="I62" s="130"/>
      <c r="J62" s="130"/>
      <c r="K62" s="130"/>
      <c r="L62" s="130"/>
      <c r="M62" s="130"/>
      <c r="N62" s="130"/>
    </row>
    <row r="63" spans="1:14" ht="12.75">
      <c r="A63" s="130"/>
      <c r="B63" s="6" t="s">
        <v>253</v>
      </c>
      <c r="C63" s="6">
        <v>11</v>
      </c>
      <c r="D63" s="89"/>
      <c r="E63" s="123">
        <f t="shared" si="4"/>
        <v>0</v>
      </c>
      <c r="F63" s="130"/>
      <c r="G63" s="130"/>
      <c r="H63" s="130"/>
      <c r="I63" s="130"/>
      <c r="J63" s="130"/>
      <c r="K63" s="130"/>
      <c r="L63" s="130"/>
      <c r="M63" s="130"/>
      <c r="N63" s="130"/>
    </row>
    <row r="64" spans="1:14" ht="12.75">
      <c r="A64" s="130"/>
      <c r="B64" s="6" t="s">
        <v>254</v>
      </c>
      <c r="C64" s="6">
        <v>14</v>
      </c>
      <c r="D64" s="89"/>
      <c r="E64" s="123">
        <f t="shared" si="4"/>
        <v>0</v>
      </c>
      <c r="F64" s="130"/>
      <c r="G64" s="130"/>
      <c r="H64" s="130"/>
      <c r="I64" s="130"/>
      <c r="J64" s="130"/>
      <c r="K64" s="130"/>
      <c r="L64" s="130"/>
      <c r="M64" s="130"/>
      <c r="N64" s="130"/>
    </row>
    <row r="65" spans="1:14" ht="13.5" thickBot="1">
      <c r="A65" s="130"/>
      <c r="B65" s="6" t="s">
        <v>255</v>
      </c>
      <c r="C65" s="6">
        <v>15</v>
      </c>
      <c r="D65" s="89"/>
      <c r="E65" s="124">
        <f t="shared" si="4"/>
        <v>0</v>
      </c>
      <c r="F65" s="130"/>
      <c r="G65" s="130"/>
      <c r="H65" s="130"/>
      <c r="I65" s="130"/>
      <c r="J65" s="130"/>
      <c r="K65" s="130"/>
      <c r="L65" s="130"/>
      <c r="M65" s="130"/>
      <c r="N65" s="130"/>
    </row>
    <row r="66" spans="1:14" ht="13.5" thickBot="1">
      <c r="A66" s="130"/>
      <c r="B66" s="130"/>
      <c r="C66" s="130"/>
      <c r="D66" s="171" t="s">
        <v>54</v>
      </c>
      <c r="E66" s="125">
        <f>SUM(E30:E65)</f>
        <v>0</v>
      </c>
      <c r="F66" s="130"/>
      <c r="G66" s="130"/>
      <c r="H66" s="130"/>
      <c r="I66" s="130"/>
      <c r="J66" s="130"/>
      <c r="K66" s="130"/>
      <c r="L66" s="130"/>
      <c r="M66" s="130"/>
      <c r="N66" s="130"/>
    </row>
    <row r="67" spans="1:14" ht="12.75">
      <c r="A67" s="130"/>
      <c r="B67" s="130"/>
      <c r="C67" s="130"/>
      <c r="D67" s="130"/>
      <c r="F67" s="130"/>
      <c r="G67" s="130"/>
      <c r="H67" s="130"/>
      <c r="I67" s="130"/>
      <c r="J67" s="130"/>
      <c r="K67" s="130"/>
      <c r="L67" s="130"/>
      <c r="M67" s="130"/>
      <c r="N67" s="130"/>
    </row>
    <row r="68" spans="1:14" ht="31.5" customHeight="1" thickBot="1">
      <c r="A68" s="130"/>
      <c r="B68" s="1"/>
      <c r="C68" s="145" t="s">
        <v>329</v>
      </c>
      <c r="D68" s="143" t="s">
        <v>180</v>
      </c>
      <c r="E68" s="120" t="s">
        <v>30</v>
      </c>
      <c r="F68" s="130"/>
      <c r="G68" s="130"/>
      <c r="H68" s="130"/>
      <c r="I68" s="130"/>
      <c r="J68" s="130"/>
      <c r="K68" s="130"/>
      <c r="L68" s="130"/>
      <c r="M68" s="130"/>
      <c r="N68" s="130"/>
    </row>
    <row r="69" spans="1:14" ht="31.5" customHeight="1" thickBot="1">
      <c r="A69" s="130"/>
      <c r="B69" s="92" t="s">
        <v>327</v>
      </c>
      <c r="C69" s="146" t="s">
        <v>215</v>
      </c>
      <c r="D69" s="144" t="s">
        <v>212</v>
      </c>
      <c r="E69" s="121" t="s">
        <v>1</v>
      </c>
      <c r="F69" s="130"/>
      <c r="G69" s="130"/>
      <c r="H69" s="130"/>
      <c r="I69" s="130"/>
      <c r="J69" s="130"/>
      <c r="K69" s="130"/>
      <c r="L69" s="130"/>
      <c r="M69" s="130"/>
      <c r="N69" s="130"/>
    </row>
    <row r="70" spans="1:14" ht="31.5" customHeight="1">
      <c r="A70" s="130"/>
      <c r="B70" s="168" t="s">
        <v>332</v>
      </c>
      <c r="C70" s="130"/>
      <c r="D70" s="130"/>
      <c r="E70" s="130"/>
      <c r="F70" s="130"/>
      <c r="G70" s="130"/>
      <c r="H70" s="130"/>
      <c r="I70" s="130"/>
      <c r="J70" s="130"/>
      <c r="K70" s="130"/>
      <c r="L70" s="130"/>
      <c r="M70" s="130"/>
      <c r="N70" s="130"/>
    </row>
    <row r="71" spans="1:14" ht="13.5" customHeight="1">
      <c r="A71" s="130"/>
      <c r="B71" s="34" t="s">
        <v>328</v>
      </c>
      <c r="C71" s="174"/>
      <c r="D71" s="136"/>
      <c r="E71" s="136"/>
      <c r="F71" s="130"/>
      <c r="G71" s="130"/>
      <c r="H71" s="130"/>
      <c r="I71" s="130"/>
      <c r="J71" s="130"/>
      <c r="K71" s="130"/>
      <c r="L71" s="130"/>
      <c r="M71" s="130"/>
      <c r="N71" s="130"/>
    </row>
    <row r="72" spans="1:14" ht="12.75">
      <c r="A72" s="130"/>
      <c r="B72" s="10" t="s">
        <v>330</v>
      </c>
      <c r="C72" s="148"/>
      <c r="D72" s="13">
        <v>0.002</v>
      </c>
      <c r="E72" s="123">
        <f>C72*D72</f>
        <v>0</v>
      </c>
      <c r="F72" s="130"/>
      <c r="G72" s="130"/>
      <c r="H72" s="130"/>
      <c r="I72" s="130"/>
      <c r="J72" s="130"/>
      <c r="K72" s="130"/>
      <c r="L72" s="130"/>
      <c r="M72" s="130"/>
      <c r="N72" s="130"/>
    </row>
    <row r="73" spans="1:14" ht="13.5" thickBot="1">
      <c r="A73" s="130"/>
      <c r="B73" s="10" t="s">
        <v>331</v>
      </c>
      <c r="C73" s="147"/>
      <c r="D73" s="13">
        <v>0.015</v>
      </c>
      <c r="E73" s="123">
        <f>C73*D73</f>
        <v>0</v>
      </c>
      <c r="F73" s="130"/>
      <c r="G73" s="130"/>
      <c r="H73" s="130"/>
      <c r="I73" s="130"/>
      <c r="J73" s="130"/>
      <c r="K73" s="130"/>
      <c r="L73" s="130"/>
      <c r="M73" s="130"/>
      <c r="N73" s="130"/>
    </row>
    <row r="74" spans="1:14" ht="13.5" thickBot="1">
      <c r="A74" s="130"/>
      <c r="B74" s="130"/>
      <c r="C74" s="130"/>
      <c r="D74" s="167" t="s">
        <v>54</v>
      </c>
      <c r="E74" s="125">
        <f>SUM(E72:E73)</f>
        <v>0</v>
      </c>
      <c r="F74" s="130"/>
      <c r="G74" s="130"/>
      <c r="H74" s="130"/>
      <c r="I74" s="130"/>
      <c r="J74" s="130"/>
      <c r="K74" s="130"/>
      <c r="L74" s="130"/>
      <c r="M74" s="130"/>
      <c r="N74" s="130"/>
    </row>
    <row r="75" spans="1:14" ht="12.75">
      <c r="A75" s="130"/>
      <c r="B75" s="130"/>
      <c r="C75" s="130"/>
      <c r="D75" s="130"/>
      <c r="E75" s="130"/>
      <c r="F75" s="130"/>
      <c r="G75" s="130"/>
      <c r="H75" s="130"/>
      <c r="I75" s="130"/>
      <c r="J75" s="130"/>
      <c r="K75" s="130"/>
      <c r="L75" s="130"/>
      <c r="M75" s="130"/>
      <c r="N75" s="130"/>
    </row>
    <row r="76" spans="1:14" ht="12.75">
      <c r="A76" s="130"/>
      <c r="B76" s="130"/>
      <c r="C76" s="130"/>
      <c r="D76" s="130"/>
      <c r="E76" s="130"/>
      <c r="F76" s="130"/>
      <c r="G76" s="130"/>
      <c r="H76" s="130"/>
      <c r="I76" s="130"/>
      <c r="J76" s="130"/>
      <c r="K76" s="130"/>
      <c r="L76" s="130"/>
      <c r="M76" s="130"/>
      <c r="N76" s="130"/>
    </row>
    <row r="77" spans="1:14" ht="12.75">
      <c r="A77" s="130"/>
      <c r="B77" s="130"/>
      <c r="C77" s="130"/>
      <c r="D77" s="130"/>
      <c r="E77" s="130"/>
      <c r="F77" s="130"/>
      <c r="G77" s="130"/>
      <c r="H77" s="130"/>
      <c r="I77" s="130"/>
      <c r="J77" s="130"/>
      <c r="K77" s="130"/>
      <c r="L77" s="130"/>
      <c r="M77" s="130"/>
      <c r="N77" s="130"/>
    </row>
    <row r="78" spans="1:14" ht="12.75">
      <c r="A78" s="130"/>
      <c r="B78" s="130"/>
      <c r="C78" s="130"/>
      <c r="D78" s="130"/>
      <c r="E78" s="130"/>
      <c r="F78" s="130"/>
      <c r="G78" s="130"/>
      <c r="H78" s="130"/>
      <c r="I78" s="130"/>
      <c r="J78" s="130"/>
      <c r="K78" s="130"/>
      <c r="L78" s="130"/>
      <c r="M78" s="130"/>
      <c r="N78" s="130"/>
    </row>
    <row r="79" spans="1:14" ht="12.75">
      <c r="A79" s="130"/>
      <c r="B79" s="130"/>
      <c r="C79" s="130"/>
      <c r="D79" s="130"/>
      <c r="E79" s="130"/>
      <c r="F79" s="130"/>
      <c r="G79" s="130"/>
      <c r="H79" s="130"/>
      <c r="I79" s="130"/>
      <c r="J79" s="130"/>
      <c r="K79" s="130"/>
      <c r="L79" s="130"/>
      <c r="M79" s="130"/>
      <c r="N79" s="130"/>
    </row>
    <row r="80" spans="1:14" ht="12.75">
      <c r="A80" s="130"/>
      <c r="B80" s="130"/>
      <c r="C80" s="130"/>
      <c r="D80" s="130"/>
      <c r="E80" s="130"/>
      <c r="F80" s="130"/>
      <c r="G80" s="130"/>
      <c r="H80" s="130"/>
      <c r="I80" s="130"/>
      <c r="J80" s="130"/>
      <c r="K80" s="130"/>
      <c r="L80" s="130"/>
      <c r="M80" s="130"/>
      <c r="N80" s="130"/>
    </row>
    <row r="81" spans="1:14" ht="12.75">
      <c r="A81" s="130"/>
      <c r="B81" s="130"/>
      <c r="C81" s="130"/>
      <c r="D81" s="130"/>
      <c r="E81" s="130"/>
      <c r="F81" s="130"/>
      <c r="G81" s="130"/>
      <c r="H81" s="130"/>
      <c r="I81" s="130"/>
      <c r="J81" s="130"/>
      <c r="K81" s="130"/>
      <c r="L81" s="130"/>
      <c r="M81" s="130"/>
      <c r="N81" s="130"/>
    </row>
    <row r="82" spans="1:14" ht="12.75">
      <c r="A82" s="130"/>
      <c r="B82" s="130"/>
      <c r="C82" s="130"/>
      <c r="D82" s="130"/>
      <c r="E82" s="130"/>
      <c r="F82" s="130"/>
      <c r="G82" s="130"/>
      <c r="H82" s="130"/>
      <c r="I82" s="130"/>
      <c r="J82" s="130"/>
      <c r="K82" s="130"/>
      <c r="L82" s="130"/>
      <c r="M82" s="130"/>
      <c r="N82" s="130"/>
    </row>
    <row r="83" spans="1:14" ht="12.75">
      <c r="A83" s="130"/>
      <c r="B83" s="130"/>
      <c r="C83" s="130"/>
      <c r="D83" s="130"/>
      <c r="E83" s="130"/>
      <c r="F83" s="130"/>
      <c r="G83" s="130"/>
      <c r="H83" s="130"/>
      <c r="I83" s="130"/>
      <c r="J83" s="130"/>
      <c r="K83" s="130"/>
      <c r="L83" s="130"/>
      <c r="M83" s="130"/>
      <c r="N83" s="130"/>
    </row>
    <row r="84" spans="1:14" ht="12.75">
      <c r="A84" s="130"/>
      <c r="B84" s="130"/>
      <c r="C84" s="130"/>
      <c r="D84" s="130"/>
      <c r="E84" s="130"/>
      <c r="F84" s="130"/>
      <c r="G84" s="130"/>
      <c r="H84" s="130"/>
      <c r="I84" s="130"/>
      <c r="J84" s="130"/>
      <c r="K84" s="130"/>
      <c r="L84" s="130"/>
      <c r="M84" s="130"/>
      <c r="N84" s="130"/>
    </row>
    <row r="85" spans="1:14" ht="12.75">
      <c r="A85" s="130"/>
      <c r="B85" s="130"/>
      <c r="C85" s="130"/>
      <c r="D85" s="130"/>
      <c r="E85" s="130"/>
      <c r="F85" s="130"/>
      <c r="G85" s="130"/>
      <c r="H85" s="130"/>
      <c r="I85" s="130"/>
      <c r="J85" s="130"/>
      <c r="K85" s="130"/>
      <c r="L85" s="130"/>
      <c r="M85" s="130"/>
      <c r="N85" s="130"/>
    </row>
    <row r="86" spans="1:14" ht="12.75">
      <c r="A86" s="130"/>
      <c r="B86" s="130"/>
      <c r="C86" s="130"/>
      <c r="D86" s="130"/>
      <c r="E86" s="130"/>
      <c r="F86" s="130"/>
      <c r="G86" s="130"/>
      <c r="H86" s="130"/>
      <c r="I86" s="130"/>
      <c r="J86" s="130"/>
      <c r="K86" s="130"/>
      <c r="L86" s="130"/>
      <c r="M86" s="130"/>
      <c r="N86" s="130"/>
    </row>
    <row r="87" spans="1:14" ht="12.75">
      <c r="A87" s="130"/>
      <c r="B87" s="130"/>
      <c r="C87" s="130"/>
      <c r="D87" s="130"/>
      <c r="E87" s="130"/>
      <c r="F87" s="130"/>
      <c r="G87" s="130"/>
      <c r="H87" s="130"/>
      <c r="I87" s="130"/>
      <c r="J87" s="130"/>
      <c r="K87" s="130"/>
      <c r="L87" s="130"/>
      <c r="M87" s="130"/>
      <c r="N87" s="130"/>
    </row>
    <row r="88" spans="1:14" ht="12.75">
      <c r="A88" s="130"/>
      <c r="B88" s="130"/>
      <c r="C88" s="130"/>
      <c r="D88" s="130"/>
      <c r="E88" s="130"/>
      <c r="F88" s="130"/>
      <c r="G88" s="130"/>
      <c r="H88" s="130"/>
      <c r="I88" s="130"/>
      <c r="J88" s="130"/>
      <c r="K88" s="130"/>
      <c r="L88" s="130"/>
      <c r="M88" s="130"/>
      <c r="N88" s="130"/>
    </row>
    <row r="89" spans="1:14" ht="12.75">
      <c r="A89" s="130"/>
      <c r="B89" s="130"/>
      <c r="C89" s="130"/>
      <c r="D89" s="130"/>
      <c r="E89" s="130"/>
      <c r="F89" s="130"/>
      <c r="G89" s="130"/>
      <c r="H89" s="130"/>
      <c r="I89" s="130"/>
      <c r="J89" s="130"/>
      <c r="K89" s="130"/>
      <c r="L89" s="130"/>
      <c r="M89" s="130"/>
      <c r="N89" s="130"/>
    </row>
  </sheetData>
  <sheetProtection/>
  <printOptions/>
  <pageMargins left="0.787401575" right="0.787401575" top="0.984251969" bottom="0.984251969" header="0.4921259845" footer="0.4921259845"/>
  <pageSetup horizontalDpi="1200" verticalDpi="12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N88"/>
  <sheetViews>
    <sheetView zoomScalePageLayoutView="0" workbookViewId="0" topLeftCell="A1">
      <selection activeCell="D57" sqref="D57"/>
    </sheetView>
  </sheetViews>
  <sheetFormatPr defaultColWidth="11.421875" defaultRowHeight="12.75"/>
  <cols>
    <col min="1" max="1" width="3.00390625" style="0" customWidth="1"/>
    <col min="2" max="2" width="81.7109375" style="0" customWidth="1"/>
    <col min="3" max="3" width="12.140625" style="0" customWidth="1"/>
    <col min="4" max="4" width="12.00390625" style="0" customWidth="1"/>
    <col min="5" max="5" width="13.8515625" style="0" customWidth="1"/>
    <col min="6" max="6" width="13.7109375" style="0" customWidth="1"/>
  </cols>
  <sheetData>
    <row r="1" spans="1:14" ht="18.75" customHeight="1" thickBot="1">
      <c r="A1" s="100" t="s">
        <v>302</v>
      </c>
      <c r="B1" s="101"/>
      <c r="C1" s="162"/>
      <c r="D1" s="136"/>
      <c r="E1" s="136"/>
      <c r="F1" s="136"/>
      <c r="G1" s="130"/>
      <c r="H1" s="130"/>
      <c r="I1" s="130"/>
      <c r="J1" s="130"/>
      <c r="K1" s="130"/>
      <c r="L1" s="130"/>
      <c r="M1" s="130"/>
      <c r="N1" s="130"/>
    </row>
    <row r="2" spans="1:14" ht="31.5" customHeight="1" thickBot="1">
      <c r="A2" s="136"/>
      <c r="B2" s="183" t="s">
        <v>308</v>
      </c>
      <c r="C2" s="184"/>
      <c r="D2" s="61" t="s">
        <v>32</v>
      </c>
      <c r="E2" s="8" t="s">
        <v>180</v>
      </c>
      <c r="F2" s="49" t="s">
        <v>30</v>
      </c>
      <c r="G2" s="130"/>
      <c r="H2" s="130"/>
      <c r="I2" s="130"/>
      <c r="J2" s="130"/>
      <c r="K2" s="130"/>
      <c r="L2" s="130"/>
      <c r="M2" s="130"/>
      <c r="N2" s="130"/>
    </row>
    <row r="3" spans="1:14" ht="31.5" customHeight="1" thickBot="1">
      <c r="A3" s="136"/>
      <c r="B3" s="31" t="s">
        <v>7</v>
      </c>
      <c r="C3" s="111" t="s">
        <v>35</v>
      </c>
      <c r="D3" s="59" t="s">
        <v>0</v>
      </c>
      <c r="E3" s="37" t="s">
        <v>269</v>
      </c>
      <c r="F3" s="50" t="s">
        <v>1</v>
      </c>
      <c r="G3" s="130"/>
      <c r="H3" s="130"/>
      <c r="I3" s="130"/>
      <c r="J3" s="130"/>
      <c r="K3" s="130"/>
      <c r="L3" s="130"/>
      <c r="M3" s="130"/>
      <c r="N3" s="130"/>
    </row>
    <row r="4" spans="1:14" ht="15.75" customHeight="1" thickBot="1">
      <c r="A4" s="136"/>
      <c r="B4" s="173"/>
      <c r="C4" s="162"/>
      <c r="D4" s="136"/>
      <c r="E4" s="136"/>
      <c r="F4" s="136"/>
      <c r="G4" s="130"/>
      <c r="H4" s="130"/>
      <c r="I4" s="130"/>
      <c r="J4" s="130"/>
      <c r="K4" s="130"/>
      <c r="L4" s="130"/>
      <c r="M4" s="130"/>
      <c r="N4" s="130"/>
    </row>
    <row r="5" spans="1:14" ht="13.5" thickBot="1">
      <c r="A5" s="136"/>
      <c r="B5" s="130"/>
      <c r="C5" s="185"/>
      <c r="D5" s="110"/>
      <c r="E5" s="149"/>
      <c r="F5" s="181"/>
      <c r="G5" s="130"/>
      <c r="H5" s="130"/>
      <c r="I5" s="130"/>
      <c r="J5" s="130"/>
      <c r="K5" s="130"/>
      <c r="L5" s="130"/>
      <c r="M5" s="130"/>
      <c r="N5" s="130"/>
    </row>
    <row r="6" spans="1:14" ht="12.75">
      <c r="A6" s="136"/>
      <c r="B6" s="6" t="s">
        <v>301</v>
      </c>
      <c r="C6" s="43">
        <v>47</v>
      </c>
      <c r="D6" s="107">
        <f>D5*0.47</f>
        <v>0</v>
      </c>
      <c r="E6" s="6">
        <v>0.004</v>
      </c>
      <c r="F6" s="63">
        <f>D6*E6</f>
        <v>0</v>
      </c>
      <c r="G6" s="130"/>
      <c r="H6" s="130"/>
      <c r="I6" s="130"/>
      <c r="J6" s="130"/>
      <c r="K6" s="130"/>
      <c r="L6" s="130"/>
      <c r="M6" s="130"/>
      <c r="N6" s="130"/>
    </row>
    <row r="7" spans="1:14" ht="12.75">
      <c r="A7" s="136"/>
      <c r="B7" s="6" t="s">
        <v>298</v>
      </c>
      <c r="C7" s="15">
        <v>2</v>
      </c>
      <c r="D7" s="107">
        <f>D5*0.02</f>
        <v>0</v>
      </c>
      <c r="E7" s="13">
        <v>0.474</v>
      </c>
      <c r="F7" s="63">
        <f>D7*E7</f>
        <v>0</v>
      </c>
      <c r="G7" s="130"/>
      <c r="H7" s="130"/>
      <c r="I7" s="130"/>
      <c r="J7" s="130"/>
      <c r="K7" s="130"/>
      <c r="L7" s="130"/>
      <c r="M7" s="130"/>
      <c r="N7" s="130"/>
    </row>
    <row r="8" spans="1:14" ht="12.75">
      <c r="A8" s="136"/>
      <c r="B8" s="10" t="s">
        <v>299</v>
      </c>
      <c r="C8" s="15">
        <v>36</v>
      </c>
      <c r="D8" s="107">
        <f>D5*0.36</f>
        <v>0</v>
      </c>
      <c r="E8" s="13">
        <v>0.401</v>
      </c>
      <c r="F8" s="63">
        <f>D8*E8</f>
        <v>0</v>
      </c>
      <c r="G8" s="130"/>
      <c r="H8" s="130"/>
      <c r="I8" s="130"/>
      <c r="J8" s="130"/>
      <c r="K8" s="130"/>
      <c r="L8" s="130"/>
      <c r="M8" s="130"/>
      <c r="N8" s="130"/>
    </row>
    <row r="9" spans="1:14" ht="12.75" customHeight="1" thickBot="1">
      <c r="A9" s="136"/>
      <c r="B9" s="10" t="s">
        <v>300</v>
      </c>
      <c r="C9" s="113">
        <v>15</v>
      </c>
      <c r="D9" s="107">
        <f>D5*0.15</f>
        <v>0</v>
      </c>
      <c r="E9" s="13">
        <v>0.004</v>
      </c>
      <c r="F9" s="64">
        <f>D9*E9</f>
        <v>0</v>
      </c>
      <c r="G9" s="130"/>
      <c r="H9" s="130"/>
      <c r="I9" s="130"/>
      <c r="J9" s="130"/>
      <c r="K9" s="130"/>
      <c r="L9" s="130"/>
      <c r="M9" s="130"/>
      <c r="N9" s="130"/>
    </row>
    <row r="10" spans="1:14" ht="13.5" thickBot="1">
      <c r="A10" s="136"/>
      <c r="B10" s="167" t="s">
        <v>54</v>
      </c>
      <c r="C10" s="114">
        <f>SUM(C6:C9)</f>
        <v>100</v>
      </c>
      <c r="D10" s="136"/>
      <c r="E10" s="167" t="s">
        <v>54</v>
      </c>
      <c r="F10" s="25">
        <f>SUM(F6:F9)</f>
        <v>0</v>
      </c>
      <c r="G10" s="130"/>
      <c r="H10" s="130"/>
      <c r="I10" s="130"/>
      <c r="J10" s="130"/>
      <c r="K10" s="130"/>
      <c r="L10" s="130"/>
      <c r="M10" s="130"/>
      <c r="N10" s="130"/>
    </row>
    <row r="11" spans="1:14" ht="12.75">
      <c r="A11" s="136"/>
      <c r="B11" s="136"/>
      <c r="C11" s="162"/>
      <c r="D11" s="136"/>
      <c r="E11" s="136"/>
      <c r="F11" s="3"/>
      <c r="G11" s="130"/>
      <c r="H11" s="130"/>
      <c r="I11" s="130"/>
      <c r="J11" s="130"/>
      <c r="K11" s="130"/>
      <c r="L11" s="130"/>
      <c r="M11" s="130"/>
      <c r="N11" s="130"/>
    </row>
    <row r="12" spans="1:14" ht="26.25" thickBot="1">
      <c r="A12" s="136"/>
      <c r="B12" s="173"/>
      <c r="C12" s="184"/>
      <c r="D12" s="61" t="s">
        <v>32</v>
      </c>
      <c r="E12" s="8" t="s">
        <v>180</v>
      </c>
      <c r="F12" s="49" t="s">
        <v>30</v>
      </c>
      <c r="G12" s="130"/>
      <c r="H12" s="130"/>
      <c r="I12" s="130"/>
      <c r="J12" s="130"/>
      <c r="K12" s="130"/>
      <c r="L12" s="130"/>
      <c r="M12" s="130"/>
      <c r="N12" s="130"/>
    </row>
    <row r="13" spans="1:14" ht="31.5" customHeight="1" thickBot="1">
      <c r="A13" s="136"/>
      <c r="B13" s="31" t="s">
        <v>346</v>
      </c>
      <c r="C13" s="111" t="s">
        <v>35</v>
      </c>
      <c r="D13" s="59" t="s">
        <v>0</v>
      </c>
      <c r="E13" s="37" t="s">
        <v>269</v>
      </c>
      <c r="F13" s="50" t="s">
        <v>1</v>
      </c>
      <c r="G13" s="130"/>
      <c r="H13" s="130"/>
      <c r="I13" s="130"/>
      <c r="J13" s="130"/>
      <c r="K13" s="130"/>
      <c r="L13" s="130"/>
      <c r="M13" s="130"/>
      <c r="N13" s="130"/>
    </row>
    <row r="14" spans="1:14" ht="15.75" customHeight="1" thickBot="1">
      <c r="A14" s="136"/>
      <c r="B14" s="173" t="s">
        <v>310</v>
      </c>
      <c r="C14" s="162"/>
      <c r="D14" s="136"/>
      <c r="E14" s="136"/>
      <c r="F14" s="136"/>
      <c r="G14" s="130"/>
      <c r="H14" s="130"/>
      <c r="I14" s="130"/>
      <c r="J14" s="130"/>
      <c r="K14" s="130"/>
      <c r="L14" s="130"/>
      <c r="M14" s="130"/>
      <c r="N14" s="130"/>
    </row>
    <row r="15" spans="1:14" ht="13.5" thickBot="1">
      <c r="A15" s="136"/>
      <c r="B15" s="130"/>
      <c r="C15" s="185"/>
      <c r="D15" s="110"/>
      <c r="E15" s="149"/>
      <c r="F15" s="181"/>
      <c r="G15" s="130"/>
      <c r="H15" s="130"/>
      <c r="I15" s="130"/>
      <c r="J15" s="130"/>
      <c r="K15" s="130"/>
      <c r="L15" s="130"/>
      <c r="M15" s="130"/>
      <c r="N15" s="130"/>
    </row>
    <row r="16" spans="1:14" ht="12.75">
      <c r="A16" s="136"/>
      <c r="B16" s="6" t="s">
        <v>301</v>
      </c>
      <c r="C16" s="43">
        <v>46</v>
      </c>
      <c r="D16" s="107">
        <f>D15*0.46</f>
        <v>0</v>
      </c>
      <c r="E16" s="6">
        <v>0.004</v>
      </c>
      <c r="F16" s="63">
        <f>D16*E16</f>
        <v>0</v>
      </c>
      <c r="G16" s="130"/>
      <c r="H16" s="130"/>
      <c r="I16" s="130"/>
      <c r="J16" s="130"/>
      <c r="K16" s="130"/>
      <c r="L16" s="130"/>
      <c r="M16" s="130"/>
      <c r="N16" s="130"/>
    </row>
    <row r="17" spans="1:14" ht="12.75">
      <c r="A17" s="136"/>
      <c r="B17" s="6" t="s">
        <v>298</v>
      </c>
      <c r="C17" s="15">
        <v>0</v>
      </c>
      <c r="D17" s="107">
        <f>D15*0</f>
        <v>0</v>
      </c>
      <c r="E17" s="13">
        <v>0.004</v>
      </c>
      <c r="F17" s="63">
        <f>D17*E17</f>
        <v>0</v>
      </c>
      <c r="G17" s="130"/>
      <c r="H17" s="130"/>
      <c r="I17" s="130"/>
      <c r="J17" s="130"/>
      <c r="K17" s="130"/>
      <c r="L17" s="130"/>
      <c r="M17" s="130"/>
      <c r="N17" s="130"/>
    </row>
    <row r="18" spans="1:14" ht="12.75">
      <c r="A18" s="136"/>
      <c r="B18" s="10" t="s">
        <v>299</v>
      </c>
      <c r="C18" s="15">
        <v>1</v>
      </c>
      <c r="D18" s="107">
        <f>D15*0.01</f>
        <v>0</v>
      </c>
      <c r="E18" s="13">
        <v>0.004</v>
      </c>
      <c r="F18" s="63">
        <f>D18*E18</f>
        <v>0</v>
      </c>
      <c r="G18" s="130"/>
      <c r="H18" s="130"/>
      <c r="I18" s="130"/>
      <c r="J18" s="130"/>
      <c r="K18" s="130"/>
      <c r="L18" s="130"/>
      <c r="M18" s="130"/>
      <c r="N18" s="130"/>
    </row>
    <row r="19" spans="1:14" ht="12.75" customHeight="1" thickBot="1">
      <c r="A19" s="136"/>
      <c r="B19" s="10" t="s">
        <v>303</v>
      </c>
      <c r="C19" s="113">
        <v>53</v>
      </c>
      <c r="D19" s="107">
        <f>D15*0.53</f>
        <v>0</v>
      </c>
      <c r="E19" s="13">
        <v>0.004</v>
      </c>
      <c r="F19" s="64">
        <f>D19*E19</f>
        <v>0</v>
      </c>
      <c r="G19" s="130"/>
      <c r="H19" s="130"/>
      <c r="I19" s="130"/>
      <c r="J19" s="130"/>
      <c r="K19" s="130"/>
      <c r="L19" s="130"/>
      <c r="M19" s="130"/>
      <c r="N19" s="130"/>
    </row>
    <row r="20" spans="1:14" ht="13.5" thickBot="1">
      <c r="A20" s="136"/>
      <c r="B20" s="167" t="s">
        <v>54</v>
      </c>
      <c r="C20" s="114">
        <f>SUM(C16:C19)</f>
        <v>100</v>
      </c>
      <c r="D20" s="136"/>
      <c r="E20" s="167" t="s">
        <v>54</v>
      </c>
      <c r="F20" s="25">
        <f>SUM(F16:F19)</f>
        <v>0</v>
      </c>
      <c r="G20" s="130"/>
      <c r="H20" s="130"/>
      <c r="I20" s="130"/>
      <c r="J20" s="130"/>
      <c r="K20" s="130"/>
      <c r="L20" s="130"/>
      <c r="M20" s="130"/>
      <c r="N20" s="130"/>
    </row>
    <row r="21" spans="1:14" ht="12.75">
      <c r="A21" s="136"/>
      <c r="B21" s="136"/>
      <c r="C21" s="162"/>
      <c r="D21" s="136"/>
      <c r="E21" s="167"/>
      <c r="F21" s="45"/>
      <c r="G21" s="130"/>
      <c r="H21" s="130"/>
      <c r="I21" s="130"/>
      <c r="J21" s="130"/>
      <c r="K21" s="130"/>
      <c r="L21" s="130"/>
      <c r="M21" s="130"/>
      <c r="N21" s="130"/>
    </row>
    <row r="22" spans="1:14" ht="26.25" thickBot="1">
      <c r="A22" s="136"/>
      <c r="B22" s="97"/>
      <c r="C22" s="184"/>
      <c r="D22" s="61" t="s">
        <v>32</v>
      </c>
      <c r="E22" s="8" t="s">
        <v>180</v>
      </c>
      <c r="F22" s="49" t="s">
        <v>30</v>
      </c>
      <c r="G22" s="130"/>
      <c r="H22" s="130"/>
      <c r="I22" s="130"/>
      <c r="J22" s="130"/>
      <c r="K22" s="130"/>
      <c r="L22" s="130"/>
      <c r="M22" s="130"/>
      <c r="N22" s="130"/>
    </row>
    <row r="23" spans="1:14" ht="26.25" thickBot="1">
      <c r="A23" s="136"/>
      <c r="B23" s="31" t="s">
        <v>304</v>
      </c>
      <c r="C23" s="111" t="s">
        <v>35</v>
      </c>
      <c r="D23" s="59" t="s">
        <v>0</v>
      </c>
      <c r="E23" s="37" t="s">
        <v>269</v>
      </c>
      <c r="F23" s="50" t="s">
        <v>1</v>
      </c>
      <c r="G23" s="130"/>
      <c r="H23" s="130"/>
      <c r="I23" s="130"/>
      <c r="J23" s="130"/>
      <c r="K23" s="130"/>
      <c r="L23" s="130"/>
      <c r="M23" s="130"/>
      <c r="N23" s="130"/>
    </row>
    <row r="24" spans="1:14" ht="15.75" customHeight="1" thickBot="1">
      <c r="A24" s="136"/>
      <c r="B24" s="173" t="s">
        <v>310</v>
      </c>
      <c r="C24" s="162"/>
      <c r="D24" s="1"/>
      <c r="E24" s="1"/>
      <c r="F24" s="1"/>
      <c r="G24" s="130"/>
      <c r="H24" s="130"/>
      <c r="I24" s="130"/>
      <c r="J24" s="130"/>
      <c r="K24" s="130"/>
      <c r="L24" s="130"/>
      <c r="M24" s="130"/>
      <c r="N24" s="130"/>
    </row>
    <row r="25" spans="1:14" ht="13.5" thickBot="1">
      <c r="A25" s="136"/>
      <c r="B25" s="130"/>
      <c r="C25" s="185"/>
      <c r="D25" s="110"/>
      <c r="E25" s="108"/>
      <c r="F25" s="45"/>
      <c r="G25" s="130"/>
      <c r="H25" s="130"/>
      <c r="I25" s="130"/>
      <c r="J25" s="130"/>
      <c r="K25" s="130"/>
      <c r="L25" s="130"/>
      <c r="M25" s="130"/>
      <c r="N25" s="130"/>
    </row>
    <row r="26" spans="1:14" ht="12.75">
      <c r="A26" s="136"/>
      <c r="B26" s="6" t="s">
        <v>301</v>
      </c>
      <c r="C26" s="43">
        <v>49</v>
      </c>
      <c r="D26" s="107">
        <f>D25*0.49</f>
        <v>0</v>
      </c>
      <c r="E26" s="6">
        <v>0.004</v>
      </c>
      <c r="F26" s="63">
        <f>D26*E26</f>
        <v>0</v>
      </c>
      <c r="G26" s="130"/>
      <c r="H26" s="130"/>
      <c r="I26" s="130"/>
      <c r="J26" s="130"/>
      <c r="K26" s="130"/>
      <c r="L26" s="130"/>
      <c r="M26" s="130"/>
      <c r="N26" s="130"/>
    </row>
    <row r="27" spans="1:14" ht="12.75">
      <c r="A27" s="136"/>
      <c r="B27" s="6" t="s">
        <v>298</v>
      </c>
      <c r="C27" s="15">
        <v>0</v>
      </c>
      <c r="D27" s="107">
        <f>D25*0</f>
        <v>0</v>
      </c>
      <c r="E27" s="13">
        <v>0.004</v>
      </c>
      <c r="F27" s="63">
        <f>D27*E27</f>
        <v>0</v>
      </c>
      <c r="G27" s="130"/>
      <c r="H27" s="130"/>
      <c r="I27" s="130"/>
      <c r="J27" s="130"/>
      <c r="K27" s="130"/>
      <c r="L27" s="130"/>
      <c r="M27" s="130"/>
      <c r="N27" s="130"/>
    </row>
    <row r="28" spans="1:14" ht="12.75">
      <c r="A28" s="136"/>
      <c r="B28" s="10" t="s">
        <v>299</v>
      </c>
      <c r="C28" s="15">
        <v>0</v>
      </c>
      <c r="D28" s="107">
        <f>D25*0</f>
        <v>0</v>
      </c>
      <c r="E28" s="13">
        <v>0.004</v>
      </c>
      <c r="F28" s="63">
        <f>D28*E28</f>
        <v>0</v>
      </c>
      <c r="G28" s="130"/>
      <c r="H28" s="130"/>
      <c r="I28" s="130"/>
      <c r="J28" s="130"/>
      <c r="K28" s="130"/>
      <c r="L28" s="130"/>
      <c r="M28" s="130"/>
      <c r="N28" s="130"/>
    </row>
    <row r="29" spans="1:14" ht="12.75" customHeight="1" thickBot="1">
      <c r="A29" s="136"/>
      <c r="B29" s="10" t="s">
        <v>305</v>
      </c>
      <c r="C29" s="113">
        <v>51</v>
      </c>
      <c r="D29" s="107">
        <f>D25*0.51</f>
        <v>0</v>
      </c>
      <c r="E29" s="13">
        <v>0.004</v>
      </c>
      <c r="F29" s="64">
        <f>D29*E29</f>
        <v>0</v>
      </c>
      <c r="G29" s="130"/>
      <c r="H29" s="130"/>
      <c r="I29" s="130"/>
      <c r="J29" s="130"/>
      <c r="K29" s="130"/>
      <c r="L29" s="130"/>
      <c r="M29" s="130"/>
      <c r="N29" s="130"/>
    </row>
    <row r="30" spans="1:14" ht="13.5" thickBot="1">
      <c r="A30" s="136"/>
      <c r="B30" s="167" t="s">
        <v>54</v>
      </c>
      <c r="C30" s="114">
        <f>SUM(C26:C29)</f>
        <v>100</v>
      </c>
      <c r="D30" s="136"/>
      <c r="E30" s="167" t="s">
        <v>54</v>
      </c>
      <c r="F30" s="25">
        <f>SUM(F26:F29)</f>
        <v>0</v>
      </c>
      <c r="G30" s="130"/>
      <c r="H30" s="130"/>
      <c r="I30" s="130"/>
      <c r="J30" s="130"/>
      <c r="K30" s="130"/>
      <c r="L30" s="130"/>
      <c r="M30" s="130"/>
      <c r="N30" s="130"/>
    </row>
    <row r="31" spans="1:14" ht="12.75">
      <c r="A31" s="136"/>
      <c r="B31" s="136"/>
      <c r="C31" s="162"/>
      <c r="D31" s="136"/>
      <c r="E31" s="167"/>
      <c r="F31" s="45"/>
      <c r="G31" s="130"/>
      <c r="H31" s="130"/>
      <c r="I31" s="130"/>
      <c r="J31" s="130"/>
      <c r="K31" s="130"/>
      <c r="L31" s="130"/>
      <c r="M31" s="130"/>
      <c r="N31" s="130"/>
    </row>
    <row r="32" spans="1:14" ht="26.25" thickBot="1">
      <c r="A32" s="136"/>
      <c r="B32" s="97"/>
      <c r="C32" s="184"/>
      <c r="D32" s="61" t="s">
        <v>32</v>
      </c>
      <c r="E32" s="8" t="s">
        <v>180</v>
      </c>
      <c r="F32" s="49" t="s">
        <v>30</v>
      </c>
      <c r="G32" s="130"/>
      <c r="H32" s="130"/>
      <c r="I32" s="130"/>
      <c r="J32" s="130"/>
      <c r="K32" s="130"/>
      <c r="L32" s="130"/>
      <c r="M32" s="130"/>
      <c r="N32" s="130"/>
    </row>
    <row r="33" spans="1:14" ht="26.25" thickBot="1">
      <c r="A33" s="136"/>
      <c r="B33" s="31" t="s">
        <v>309</v>
      </c>
      <c r="C33" s="111" t="s">
        <v>35</v>
      </c>
      <c r="D33" s="59" t="s">
        <v>0</v>
      </c>
      <c r="E33" s="37" t="s">
        <v>269</v>
      </c>
      <c r="F33" s="50" t="s">
        <v>1</v>
      </c>
      <c r="G33" s="130"/>
      <c r="H33" s="130"/>
      <c r="I33" s="130"/>
      <c r="J33" s="130"/>
      <c r="K33" s="130"/>
      <c r="L33" s="130"/>
      <c r="M33" s="130"/>
      <c r="N33" s="130"/>
    </row>
    <row r="34" spans="1:14" ht="13.5" thickBot="1">
      <c r="A34" s="136"/>
      <c r="B34" s="173"/>
      <c r="C34" s="162"/>
      <c r="D34" s="1"/>
      <c r="E34" s="136"/>
      <c r="F34" s="136"/>
      <c r="G34" s="130"/>
      <c r="H34" s="130"/>
      <c r="I34" s="130"/>
      <c r="J34" s="130"/>
      <c r="K34" s="130"/>
      <c r="L34" s="130"/>
      <c r="M34" s="130"/>
      <c r="N34" s="130"/>
    </row>
    <row r="35" spans="1:14" ht="13.5" thickBot="1">
      <c r="A35" s="136"/>
      <c r="B35" s="130"/>
      <c r="C35" s="185"/>
      <c r="D35" s="110"/>
      <c r="E35" s="149"/>
      <c r="F35" s="181"/>
      <c r="G35" s="130"/>
      <c r="H35" s="130"/>
      <c r="I35" s="130"/>
      <c r="J35" s="130"/>
      <c r="K35" s="130"/>
      <c r="L35" s="130"/>
      <c r="M35" s="130"/>
      <c r="N35" s="130"/>
    </row>
    <row r="36" spans="1:14" ht="12.75">
      <c r="A36" s="136"/>
      <c r="B36" s="6" t="s">
        <v>296</v>
      </c>
      <c r="C36" s="43">
        <v>17</v>
      </c>
      <c r="D36" s="107">
        <f>D35*0.17</f>
        <v>0</v>
      </c>
      <c r="E36" s="6">
        <v>0.4</v>
      </c>
      <c r="F36" s="63">
        <f>D36*E36</f>
        <v>0</v>
      </c>
      <c r="G36" s="130"/>
      <c r="H36" s="130"/>
      <c r="I36" s="130"/>
      <c r="J36" s="130"/>
      <c r="K36" s="130"/>
      <c r="L36" s="130"/>
      <c r="M36" s="130"/>
      <c r="N36" s="130"/>
    </row>
    <row r="37" spans="1:14" ht="12.75">
      <c r="A37" s="136"/>
      <c r="B37" s="6" t="s">
        <v>297</v>
      </c>
      <c r="C37" s="15">
        <v>8</v>
      </c>
      <c r="D37" s="107">
        <f>D35*0.08</f>
        <v>0</v>
      </c>
      <c r="E37" s="115">
        <v>-0.052</v>
      </c>
      <c r="F37" s="63">
        <f>D37*E37</f>
        <v>0</v>
      </c>
      <c r="G37" s="130"/>
      <c r="H37" s="130"/>
      <c r="I37" s="130"/>
      <c r="J37" s="130"/>
      <c r="K37" s="130"/>
      <c r="L37" s="130"/>
      <c r="M37" s="130"/>
      <c r="N37" s="130"/>
    </row>
    <row r="38" spans="1:14" ht="12.75">
      <c r="A38" s="136"/>
      <c r="B38" s="6" t="s">
        <v>298</v>
      </c>
      <c r="C38" s="15">
        <v>2</v>
      </c>
      <c r="D38" s="107">
        <f>D35*0.02</f>
        <v>0</v>
      </c>
      <c r="E38" s="13">
        <v>0.004</v>
      </c>
      <c r="F38" s="63">
        <f>D38*E38</f>
        <v>0</v>
      </c>
      <c r="G38" s="130"/>
      <c r="H38" s="130"/>
      <c r="I38" s="130"/>
      <c r="J38" s="130"/>
      <c r="K38" s="130"/>
      <c r="L38" s="130"/>
      <c r="M38" s="130"/>
      <c r="N38" s="130"/>
    </row>
    <row r="39" spans="1:14" ht="12.75">
      <c r="A39" s="136"/>
      <c r="B39" s="10" t="s">
        <v>299</v>
      </c>
      <c r="C39" s="15">
        <v>21</v>
      </c>
      <c r="D39" s="107">
        <f>D35*0.21</f>
        <v>0</v>
      </c>
      <c r="E39" s="115">
        <v>-0.022</v>
      </c>
      <c r="F39" s="63">
        <f>D39*E39</f>
        <v>0</v>
      </c>
      <c r="G39" s="130"/>
      <c r="H39" s="130"/>
      <c r="I39" s="130"/>
      <c r="J39" s="130"/>
      <c r="K39" s="130"/>
      <c r="L39" s="130"/>
      <c r="M39" s="130"/>
      <c r="N39" s="130"/>
    </row>
    <row r="40" spans="1:14" ht="12.75" customHeight="1" thickBot="1">
      <c r="A40" s="136"/>
      <c r="B40" s="10" t="s">
        <v>305</v>
      </c>
      <c r="C40" s="113">
        <v>52</v>
      </c>
      <c r="D40" s="107">
        <f>D35*0.52</f>
        <v>0</v>
      </c>
      <c r="E40" s="13">
        <v>0.004</v>
      </c>
      <c r="F40" s="64">
        <f>D40*E40</f>
        <v>0</v>
      </c>
      <c r="G40" s="130"/>
      <c r="H40" s="130"/>
      <c r="I40" s="130"/>
      <c r="J40" s="130"/>
      <c r="K40" s="130"/>
      <c r="L40" s="130"/>
      <c r="M40" s="130"/>
      <c r="N40" s="130"/>
    </row>
    <row r="41" spans="1:14" ht="13.5" thickBot="1">
      <c r="A41" s="136"/>
      <c r="B41" s="167" t="s">
        <v>54</v>
      </c>
      <c r="C41" s="114">
        <f>SUM(C36:C40)</f>
        <v>100</v>
      </c>
      <c r="D41" s="136"/>
      <c r="E41" s="167" t="s">
        <v>54</v>
      </c>
      <c r="F41" s="25">
        <f>SUM(F36:F40)</f>
        <v>0</v>
      </c>
      <c r="G41" s="130"/>
      <c r="H41" s="130"/>
      <c r="I41" s="130"/>
      <c r="J41" s="130"/>
      <c r="K41" s="130"/>
      <c r="L41" s="130"/>
      <c r="M41" s="130"/>
      <c r="N41" s="130"/>
    </row>
    <row r="42" spans="1:14" ht="12.75">
      <c r="A42" s="136"/>
      <c r="B42" s="167"/>
      <c r="C42" s="185"/>
      <c r="D42" s="136"/>
      <c r="E42" s="167"/>
      <c r="F42" s="45"/>
      <c r="G42" s="130"/>
      <c r="H42" s="130"/>
      <c r="I42" s="130"/>
      <c r="J42" s="130"/>
      <c r="K42" s="130"/>
      <c r="L42" s="130"/>
      <c r="M42" s="130"/>
      <c r="N42" s="130"/>
    </row>
    <row r="43" spans="1:14" ht="26.25" thickBot="1">
      <c r="A43" s="136"/>
      <c r="B43" s="173"/>
      <c r="C43" s="184"/>
      <c r="D43" s="61" t="s">
        <v>32</v>
      </c>
      <c r="E43" s="8" t="s">
        <v>180</v>
      </c>
      <c r="F43" s="49" t="s">
        <v>30</v>
      </c>
      <c r="G43" s="130"/>
      <c r="H43" s="130"/>
      <c r="I43" s="130"/>
      <c r="J43" s="130"/>
      <c r="K43" s="130"/>
      <c r="L43" s="130"/>
      <c r="M43" s="130"/>
      <c r="N43" s="130"/>
    </row>
    <row r="44" spans="1:14" ht="26.25" thickBot="1">
      <c r="A44" s="136"/>
      <c r="B44" s="31" t="s">
        <v>311</v>
      </c>
      <c r="C44" s="111" t="s">
        <v>35</v>
      </c>
      <c r="D44" s="59" t="s">
        <v>0</v>
      </c>
      <c r="E44" s="37" t="s">
        <v>269</v>
      </c>
      <c r="F44" s="50" t="s">
        <v>1</v>
      </c>
      <c r="G44" s="130"/>
      <c r="H44" s="130"/>
      <c r="I44" s="130"/>
      <c r="J44" s="130"/>
      <c r="K44" s="130"/>
      <c r="L44" s="130"/>
      <c r="M44" s="130"/>
      <c r="N44" s="130"/>
    </row>
    <row r="45" spans="1:14" ht="13.5" thickBot="1">
      <c r="A45" s="136"/>
      <c r="B45" s="173"/>
      <c r="C45" s="162"/>
      <c r="D45" s="1"/>
      <c r="E45" s="136"/>
      <c r="F45" s="136"/>
      <c r="G45" s="130"/>
      <c r="H45" s="130"/>
      <c r="I45" s="130"/>
      <c r="J45" s="130"/>
      <c r="K45" s="130"/>
      <c r="L45" s="130"/>
      <c r="M45" s="130"/>
      <c r="N45" s="130"/>
    </row>
    <row r="46" spans="1:14" ht="13.5" thickBot="1">
      <c r="A46" s="136"/>
      <c r="B46" s="130"/>
      <c r="C46" s="185"/>
      <c r="D46" s="110"/>
      <c r="E46" s="149"/>
      <c r="F46" s="181"/>
      <c r="G46" s="130"/>
      <c r="H46" s="130"/>
      <c r="I46" s="130"/>
      <c r="J46" s="130"/>
      <c r="K46" s="130"/>
      <c r="L46" s="130"/>
      <c r="M46" s="130"/>
      <c r="N46" s="130"/>
    </row>
    <row r="47" spans="1:14" ht="12.75">
      <c r="A47" s="136"/>
      <c r="B47" s="6" t="s">
        <v>296</v>
      </c>
      <c r="C47" s="43">
        <v>17</v>
      </c>
      <c r="D47" s="107">
        <f>D46*0.17</f>
        <v>0</v>
      </c>
      <c r="E47" s="6">
        <v>0.28</v>
      </c>
      <c r="F47" s="63">
        <f>D47*E47</f>
        <v>0</v>
      </c>
      <c r="G47" s="130"/>
      <c r="H47" s="130"/>
      <c r="I47" s="130"/>
      <c r="J47" s="130"/>
      <c r="K47" s="130"/>
      <c r="L47" s="130"/>
      <c r="M47" s="130"/>
      <c r="N47" s="130"/>
    </row>
    <row r="48" spans="1:14" ht="12.75">
      <c r="A48" s="136"/>
      <c r="B48" s="6" t="s">
        <v>297</v>
      </c>
      <c r="C48" s="15">
        <v>8</v>
      </c>
      <c r="D48" s="107">
        <f>D46*0.08</f>
        <v>0</v>
      </c>
      <c r="E48" s="115">
        <v>-0.036</v>
      </c>
      <c r="F48" s="63">
        <f>D48*E48</f>
        <v>0</v>
      </c>
      <c r="G48" s="130"/>
      <c r="H48" s="130"/>
      <c r="I48" s="130"/>
      <c r="J48" s="130"/>
      <c r="K48" s="130"/>
      <c r="L48" s="130"/>
      <c r="M48" s="130"/>
      <c r="N48" s="130"/>
    </row>
    <row r="49" spans="1:14" ht="12.75">
      <c r="A49" s="136"/>
      <c r="B49" s="6" t="s">
        <v>298</v>
      </c>
      <c r="C49" s="15">
        <v>2</v>
      </c>
      <c r="D49" s="107">
        <f>D46*0.02</f>
        <v>0</v>
      </c>
      <c r="E49" s="13">
        <v>0.004</v>
      </c>
      <c r="F49" s="63">
        <f>D49*E49</f>
        <v>0</v>
      </c>
      <c r="G49" s="130"/>
      <c r="H49" s="130"/>
      <c r="I49" s="130"/>
      <c r="J49" s="130"/>
      <c r="K49" s="130"/>
      <c r="L49" s="130"/>
      <c r="M49" s="130"/>
      <c r="N49" s="130"/>
    </row>
    <row r="50" spans="1:14" ht="12.75">
      <c r="A50" s="136"/>
      <c r="B50" s="10" t="s">
        <v>299</v>
      </c>
      <c r="C50" s="15">
        <v>21</v>
      </c>
      <c r="D50" s="107">
        <f>D46*0.21</f>
        <v>0</v>
      </c>
      <c r="E50" s="115">
        <v>-0.023</v>
      </c>
      <c r="F50" s="63">
        <f>D50*E50</f>
        <v>0</v>
      </c>
      <c r="G50" s="130"/>
      <c r="H50" s="130"/>
      <c r="I50" s="130"/>
      <c r="J50" s="130"/>
      <c r="K50" s="130"/>
      <c r="L50" s="130"/>
      <c r="M50" s="130"/>
      <c r="N50" s="130"/>
    </row>
    <row r="51" spans="1:14" ht="12.75" customHeight="1" thickBot="1">
      <c r="A51" s="136"/>
      <c r="B51" s="10" t="s">
        <v>305</v>
      </c>
      <c r="C51" s="113">
        <v>52</v>
      </c>
      <c r="D51" s="107">
        <f>D46*0.52</f>
        <v>0</v>
      </c>
      <c r="E51" s="13">
        <v>0.004</v>
      </c>
      <c r="F51" s="64">
        <f>D51*E51</f>
        <v>0</v>
      </c>
      <c r="G51" s="130"/>
      <c r="H51" s="130"/>
      <c r="I51" s="130"/>
      <c r="J51" s="130"/>
      <c r="K51" s="130"/>
      <c r="L51" s="130"/>
      <c r="M51" s="130"/>
      <c r="N51" s="130"/>
    </row>
    <row r="52" spans="1:14" ht="13.5" thickBot="1">
      <c r="A52" s="136"/>
      <c r="B52" s="167" t="s">
        <v>54</v>
      </c>
      <c r="C52" s="114">
        <f>SUM(C47:C51)</f>
        <v>100</v>
      </c>
      <c r="D52" s="136"/>
      <c r="E52" s="167" t="s">
        <v>54</v>
      </c>
      <c r="F52" s="25">
        <f>SUM(F47:F51)</f>
        <v>0</v>
      </c>
      <c r="G52" s="130"/>
      <c r="H52" s="130"/>
      <c r="I52" s="130"/>
      <c r="J52" s="130"/>
      <c r="K52" s="130"/>
      <c r="L52" s="130"/>
      <c r="M52" s="130"/>
      <c r="N52" s="130"/>
    </row>
    <row r="53" spans="1:14" ht="12.75">
      <c r="A53" s="136"/>
      <c r="B53" s="167"/>
      <c r="C53" s="185"/>
      <c r="D53" s="136"/>
      <c r="E53" s="167"/>
      <c r="F53" s="45"/>
      <c r="G53" s="130"/>
      <c r="H53" s="130"/>
      <c r="I53" s="130"/>
      <c r="J53" s="130"/>
      <c r="K53" s="130"/>
      <c r="L53" s="130"/>
      <c r="M53" s="130"/>
      <c r="N53" s="130"/>
    </row>
    <row r="54" spans="1:14" s="116" customFormat="1" ht="31.5" customHeight="1" thickBot="1">
      <c r="A54" s="136"/>
      <c r="B54" s="126"/>
      <c r="C54" s="184"/>
      <c r="D54" s="61" t="s">
        <v>32</v>
      </c>
      <c r="E54" s="8" t="s">
        <v>180</v>
      </c>
      <c r="F54" s="49" t="s">
        <v>30</v>
      </c>
      <c r="G54" s="130"/>
      <c r="H54" s="130"/>
      <c r="I54" s="130"/>
      <c r="J54" s="130"/>
      <c r="K54" s="130"/>
      <c r="L54" s="130"/>
      <c r="M54" s="130"/>
      <c r="N54" s="130"/>
    </row>
    <row r="55" spans="1:14" s="116" customFormat="1" ht="31.5" customHeight="1" thickBot="1">
      <c r="A55" s="136"/>
      <c r="B55" s="31" t="s">
        <v>439</v>
      </c>
      <c r="C55" s="111" t="s">
        <v>35</v>
      </c>
      <c r="D55" s="59" t="s">
        <v>0</v>
      </c>
      <c r="E55" s="37" t="s">
        <v>269</v>
      </c>
      <c r="F55" s="50" t="s">
        <v>1</v>
      </c>
      <c r="G55" s="130"/>
      <c r="H55" s="130"/>
      <c r="I55" s="130"/>
      <c r="J55" s="130"/>
      <c r="K55" s="130"/>
      <c r="L55" s="130"/>
      <c r="M55" s="130"/>
      <c r="N55" s="130"/>
    </row>
    <row r="56" spans="1:14" s="116" customFormat="1" ht="12.75" customHeight="1" thickBot="1">
      <c r="A56" s="136"/>
      <c r="B56" s="187"/>
      <c r="C56" s="185"/>
      <c r="D56" s="16"/>
      <c r="E56" s="172"/>
      <c r="F56" s="175"/>
      <c r="G56" s="130"/>
      <c r="H56" s="130"/>
      <c r="I56" s="130"/>
      <c r="J56" s="130"/>
      <c r="K56" s="130"/>
      <c r="L56" s="130"/>
      <c r="M56" s="130"/>
      <c r="N56" s="130"/>
    </row>
    <row r="57" spans="1:14" s="116" customFormat="1" ht="12.75" customHeight="1" thickBot="1">
      <c r="A57" s="136"/>
      <c r="B57" s="187"/>
      <c r="C57" s="185"/>
      <c r="D57" s="110"/>
      <c r="E57" s="172"/>
      <c r="F57" s="175"/>
      <c r="G57" s="130"/>
      <c r="H57" s="130"/>
      <c r="I57" s="130"/>
      <c r="J57" s="130"/>
      <c r="K57" s="130"/>
      <c r="L57" s="130"/>
      <c r="M57" s="130"/>
      <c r="N57" s="130"/>
    </row>
    <row r="58" spans="1:14" s="116" customFormat="1" ht="12.75" customHeight="1">
      <c r="A58" s="136"/>
      <c r="B58" s="127" t="s">
        <v>301</v>
      </c>
      <c r="C58" s="42">
        <v>14</v>
      </c>
      <c r="D58" s="107">
        <f>D57*0.14</f>
        <v>0</v>
      </c>
      <c r="E58" s="128">
        <v>0.004</v>
      </c>
      <c r="F58" s="83">
        <f>D58*E58</f>
        <v>0</v>
      </c>
      <c r="G58" s="130"/>
      <c r="H58" s="130"/>
      <c r="I58" s="130"/>
      <c r="J58" s="130"/>
      <c r="K58" s="130"/>
      <c r="L58" s="130"/>
      <c r="M58" s="130"/>
      <c r="N58" s="130"/>
    </row>
    <row r="59" spans="1:14" s="116" customFormat="1" ht="12.75" customHeight="1" thickBot="1">
      <c r="A59" s="136"/>
      <c r="B59" s="127" t="s">
        <v>323</v>
      </c>
      <c r="C59" s="42">
        <v>86</v>
      </c>
      <c r="D59" s="35">
        <f>D57*0.86</f>
        <v>0</v>
      </c>
      <c r="E59" s="128">
        <v>0.8</v>
      </c>
      <c r="F59" s="83">
        <f>D59*E59</f>
        <v>0</v>
      </c>
      <c r="G59" s="130"/>
      <c r="H59" s="130"/>
      <c r="I59" s="130"/>
      <c r="J59" s="130"/>
      <c r="K59" s="130"/>
      <c r="L59" s="130"/>
      <c r="M59" s="130"/>
      <c r="N59" s="130"/>
    </row>
    <row r="60" spans="1:14" s="116" customFormat="1" ht="12.75" customHeight="1" thickBot="1">
      <c r="A60" s="136"/>
      <c r="B60" s="24" t="s">
        <v>54</v>
      </c>
      <c r="C60" s="114">
        <f>SUM(C58:C59)</f>
        <v>100</v>
      </c>
      <c r="D60" s="136"/>
      <c r="E60" s="167" t="s">
        <v>54</v>
      </c>
      <c r="F60" s="25">
        <f>SUM(F58:F59)</f>
        <v>0</v>
      </c>
      <c r="G60" s="130"/>
      <c r="H60" s="130"/>
      <c r="I60" s="130"/>
      <c r="J60" s="130"/>
      <c r="K60" s="130"/>
      <c r="L60" s="130"/>
      <c r="M60" s="130"/>
      <c r="N60" s="130"/>
    </row>
    <row r="61" spans="1:14" ht="12.75" customHeight="1" thickBot="1">
      <c r="A61" s="136"/>
      <c r="B61" s="167"/>
      <c r="C61" s="185"/>
      <c r="D61" s="136"/>
      <c r="E61" s="167"/>
      <c r="F61" s="45"/>
      <c r="G61" s="130"/>
      <c r="H61" s="130"/>
      <c r="I61" s="130"/>
      <c r="J61" s="130"/>
      <c r="K61" s="130"/>
      <c r="L61" s="130"/>
      <c r="M61" s="130"/>
      <c r="N61" s="130"/>
    </row>
    <row r="62" spans="1:14" ht="31.5" customHeight="1">
      <c r="A62" s="136"/>
      <c r="B62" s="136"/>
      <c r="C62" s="162"/>
      <c r="D62" s="104" t="s">
        <v>32</v>
      </c>
      <c r="E62" s="163"/>
      <c r="F62" s="90" t="s">
        <v>30</v>
      </c>
      <c r="G62" s="130"/>
      <c r="H62" s="130"/>
      <c r="I62" s="130"/>
      <c r="J62" s="130"/>
      <c r="K62" s="130"/>
      <c r="L62" s="130"/>
      <c r="M62" s="130"/>
      <c r="N62" s="130"/>
    </row>
    <row r="63" spans="1:14" ht="47.25" customHeight="1" thickBot="1">
      <c r="A63" s="136"/>
      <c r="B63" s="136"/>
      <c r="C63" s="162"/>
      <c r="D63" s="103" t="s">
        <v>307</v>
      </c>
      <c r="E63" s="163"/>
      <c r="F63" s="91" t="s">
        <v>306</v>
      </c>
      <c r="G63" s="130"/>
      <c r="H63" s="130"/>
      <c r="I63" s="130"/>
      <c r="J63" s="130"/>
      <c r="K63" s="130"/>
      <c r="L63" s="130"/>
      <c r="M63" s="130"/>
      <c r="N63" s="130"/>
    </row>
    <row r="64" spans="1:14" ht="13.5" thickBot="1">
      <c r="A64" s="136"/>
      <c r="B64" s="136"/>
      <c r="C64" s="164" t="s">
        <v>54</v>
      </c>
      <c r="D64" s="4">
        <f>D46+D35+D25+D15+D5+D57</f>
        <v>0</v>
      </c>
      <c r="E64" s="164" t="s">
        <v>54</v>
      </c>
      <c r="F64" s="5">
        <f>F52+F41+F30+F20+F10+F60</f>
        <v>0</v>
      </c>
      <c r="G64" s="130"/>
      <c r="H64" s="130"/>
      <c r="I64" s="130"/>
      <c r="J64" s="130"/>
      <c r="K64" s="130"/>
      <c r="L64" s="130"/>
      <c r="M64" s="130"/>
      <c r="N64" s="130"/>
    </row>
    <row r="65" spans="1:14" ht="13.5" thickBot="1">
      <c r="A65" s="136"/>
      <c r="B65" s="136"/>
      <c r="C65" s="165"/>
      <c r="D65" s="62" t="s">
        <v>0</v>
      </c>
      <c r="E65" s="186"/>
      <c r="F65" s="53" t="s">
        <v>1</v>
      </c>
      <c r="G65" s="130"/>
      <c r="H65" s="130"/>
      <c r="I65" s="130"/>
      <c r="J65" s="130"/>
      <c r="K65" s="130"/>
      <c r="L65" s="130"/>
      <c r="M65" s="130"/>
      <c r="N65" s="130"/>
    </row>
    <row r="66" spans="1:14" ht="12.75">
      <c r="A66" s="130"/>
      <c r="B66" s="130"/>
      <c r="C66" s="130"/>
      <c r="E66" s="130"/>
      <c r="G66" s="130"/>
      <c r="H66" s="130"/>
      <c r="I66" s="130"/>
      <c r="J66" s="130"/>
      <c r="K66" s="130"/>
      <c r="L66" s="130"/>
      <c r="M66" s="130"/>
      <c r="N66" s="130"/>
    </row>
    <row r="67" spans="1:14" ht="12.75">
      <c r="A67" s="130"/>
      <c r="B67" s="130"/>
      <c r="C67" s="130"/>
      <c r="D67" s="130"/>
      <c r="E67" s="130"/>
      <c r="F67" s="130"/>
      <c r="G67" s="130"/>
      <c r="H67" s="130"/>
      <c r="I67" s="130"/>
      <c r="J67" s="130"/>
      <c r="K67" s="130"/>
      <c r="L67" s="130"/>
      <c r="M67" s="130"/>
      <c r="N67" s="130"/>
    </row>
    <row r="68" spans="1:14" ht="12.75">
      <c r="A68" s="130"/>
      <c r="B68" s="130"/>
      <c r="C68" s="130"/>
      <c r="D68" s="130"/>
      <c r="E68" s="130"/>
      <c r="F68" s="130"/>
      <c r="G68" s="130"/>
      <c r="H68" s="130"/>
      <c r="I68" s="130"/>
      <c r="J68" s="130"/>
      <c r="K68" s="130"/>
      <c r="L68" s="130"/>
      <c r="M68" s="130"/>
      <c r="N68" s="130"/>
    </row>
    <row r="69" spans="1:14" ht="12.75">
      <c r="A69" s="130"/>
      <c r="B69" s="130"/>
      <c r="C69" s="130"/>
      <c r="D69" s="130"/>
      <c r="E69" s="130"/>
      <c r="F69" s="130"/>
      <c r="G69" s="130"/>
      <c r="H69" s="130"/>
      <c r="I69" s="130"/>
      <c r="J69" s="130"/>
      <c r="K69" s="130"/>
      <c r="L69" s="130"/>
      <c r="M69" s="130"/>
      <c r="N69" s="130"/>
    </row>
    <row r="70" spans="1:14" ht="12.75">
      <c r="A70" s="130"/>
      <c r="B70" s="130"/>
      <c r="C70" s="130"/>
      <c r="D70" s="130"/>
      <c r="E70" s="130"/>
      <c r="F70" s="130"/>
      <c r="G70" s="130"/>
      <c r="H70" s="130"/>
      <c r="I70" s="130"/>
      <c r="J70" s="130"/>
      <c r="K70" s="130"/>
      <c r="L70" s="130"/>
      <c r="M70" s="130"/>
      <c r="N70" s="130"/>
    </row>
    <row r="71" spans="1:14" ht="12.75">
      <c r="A71" s="130"/>
      <c r="B71" s="130"/>
      <c r="C71" s="130"/>
      <c r="D71" s="130"/>
      <c r="E71" s="130"/>
      <c r="F71" s="130"/>
      <c r="G71" s="130"/>
      <c r="H71" s="130"/>
      <c r="I71" s="130"/>
      <c r="J71" s="130"/>
      <c r="K71" s="130"/>
      <c r="L71" s="130"/>
      <c r="M71" s="130"/>
      <c r="N71" s="130"/>
    </row>
    <row r="72" spans="1:14" ht="12.75">
      <c r="A72" s="130"/>
      <c r="B72" s="130"/>
      <c r="C72" s="130"/>
      <c r="D72" s="130"/>
      <c r="E72" s="130"/>
      <c r="F72" s="130"/>
      <c r="G72" s="130"/>
      <c r="H72" s="130"/>
      <c r="I72" s="130"/>
      <c r="J72" s="130"/>
      <c r="K72" s="130"/>
      <c r="L72" s="130"/>
      <c r="M72" s="130"/>
      <c r="N72" s="130"/>
    </row>
    <row r="73" spans="1:14" ht="12.75">
      <c r="A73" s="130"/>
      <c r="B73" s="130"/>
      <c r="C73" s="130"/>
      <c r="D73" s="130"/>
      <c r="E73" s="130"/>
      <c r="F73" s="130"/>
      <c r="G73" s="130"/>
      <c r="H73" s="130"/>
      <c r="I73" s="130"/>
      <c r="J73" s="130"/>
      <c r="K73" s="130"/>
      <c r="L73" s="130"/>
      <c r="M73" s="130"/>
      <c r="N73" s="130"/>
    </row>
    <row r="74" spans="1:14" ht="12.75">
      <c r="A74" s="130"/>
      <c r="B74" s="130"/>
      <c r="C74" s="130"/>
      <c r="D74" s="130"/>
      <c r="E74" s="130"/>
      <c r="F74" s="130"/>
      <c r="G74" s="130"/>
      <c r="H74" s="130"/>
      <c r="I74" s="130"/>
      <c r="J74" s="130"/>
      <c r="K74" s="130"/>
      <c r="L74" s="130"/>
      <c r="M74" s="130"/>
      <c r="N74" s="130"/>
    </row>
    <row r="75" spans="1:14" ht="12.75">
      <c r="A75" s="130"/>
      <c r="B75" s="130"/>
      <c r="C75" s="130"/>
      <c r="D75" s="130"/>
      <c r="E75" s="130"/>
      <c r="F75" s="130"/>
      <c r="G75" s="130"/>
      <c r="H75" s="130"/>
      <c r="I75" s="130"/>
      <c r="J75" s="130"/>
      <c r="K75" s="130"/>
      <c r="L75" s="130"/>
      <c r="M75" s="130"/>
      <c r="N75" s="130"/>
    </row>
    <row r="76" spans="1:14" ht="12.75">
      <c r="A76" s="130"/>
      <c r="B76" s="130"/>
      <c r="C76" s="130"/>
      <c r="D76" s="130"/>
      <c r="E76" s="130"/>
      <c r="F76" s="130"/>
      <c r="G76" s="130"/>
      <c r="H76" s="130"/>
      <c r="I76" s="130"/>
      <c r="J76" s="130"/>
      <c r="K76" s="130"/>
      <c r="L76" s="130"/>
      <c r="M76" s="130"/>
      <c r="N76" s="130"/>
    </row>
    <row r="77" spans="1:14" ht="12.75">
      <c r="A77" s="130"/>
      <c r="B77" s="130"/>
      <c r="C77" s="130"/>
      <c r="D77" s="130"/>
      <c r="E77" s="130"/>
      <c r="F77" s="130"/>
      <c r="G77" s="130"/>
      <c r="H77" s="130"/>
      <c r="I77" s="130"/>
      <c r="J77" s="130"/>
      <c r="K77" s="130"/>
      <c r="L77" s="130"/>
      <c r="M77" s="130"/>
      <c r="N77" s="130"/>
    </row>
    <row r="78" spans="1:14" ht="12.75">
      <c r="A78" s="130"/>
      <c r="B78" s="130"/>
      <c r="C78" s="130"/>
      <c r="D78" s="130"/>
      <c r="E78" s="130"/>
      <c r="F78" s="130"/>
      <c r="G78" s="130"/>
      <c r="H78" s="130"/>
      <c r="I78" s="130"/>
      <c r="J78" s="130"/>
      <c r="K78" s="130"/>
      <c r="L78" s="130"/>
      <c r="M78" s="130"/>
      <c r="N78" s="130"/>
    </row>
    <row r="79" spans="1:14" ht="12.75">
      <c r="A79" s="130"/>
      <c r="B79" s="130"/>
      <c r="C79" s="130"/>
      <c r="D79" s="130"/>
      <c r="E79" s="130"/>
      <c r="F79" s="130"/>
      <c r="G79" s="130"/>
      <c r="H79" s="130"/>
      <c r="I79" s="130"/>
      <c r="J79" s="130"/>
      <c r="K79" s="130"/>
      <c r="L79" s="130"/>
      <c r="M79" s="130"/>
      <c r="N79" s="130"/>
    </row>
    <row r="80" spans="1:14" ht="12.75">
      <c r="A80" s="130"/>
      <c r="B80" s="130"/>
      <c r="C80" s="130"/>
      <c r="D80" s="130"/>
      <c r="E80" s="130"/>
      <c r="F80" s="130"/>
      <c r="G80" s="130"/>
      <c r="H80" s="130"/>
      <c r="I80" s="130"/>
      <c r="J80" s="130"/>
      <c r="K80" s="130"/>
      <c r="L80" s="130"/>
      <c r="M80" s="130"/>
      <c r="N80" s="130"/>
    </row>
    <row r="81" spans="1:14" ht="12.75">
      <c r="A81" s="130"/>
      <c r="B81" s="130"/>
      <c r="C81" s="130"/>
      <c r="D81" s="130"/>
      <c r="E81" s="130"/>
      <c r="F81" s="130"/>
      <c r="G81" s="130"/>
      <c r="H81" s="130"/>
      <c r="I81" s="130"/>
      <c r="J81" s="130"/>
      <c r="K81" s="130"/>
      <c r="L81" s="130"/>
      <c r="M81" s="130"/>
      <c r="N81" s="130"/>
    </row>
    <row r="82" spans="1:14" ht="12.75">
      <c r="A82" s="130"/>
      <c r="B82" s="130"/>
      <c r="C82" s="130"/>
      <c r="D82" s="130"/>
      <c r="E82" s="130"/>
      <c r="F82" s="130"/>
      <c r="G82" s="130"/>
      <c r="H82" s="130"/>
      <c r="I82" s="130"/>
      <c r="J82" s="130"/>
      <c r="K82" s="130"/>
      <c r="L82" s="130"/>
      <c r="M82" s="130"/>
      <c r="N82" s="130"/>
    </row>
    <row r="83" spans="1:14" ht="12.75">
      <c r="A83" s="130"/>
      <c r="B83" s="130"/>
      <c r="C83" s="130"/>
      <c r="D83" s="130"/>
      <c r="E83" s="130"/>
      <c r="F83" s="130"/>
      <c r="G83" s="130"/>
      <c r="H83" s="130"/>
      <c r="I83" s="130"/>
      <c r="J83" s="130"/>
      <c r="K83" s="130"/>
      <c r="L83" s="130"/>
      <c r="M83" s="130"/>
      <c r="N83" s="130"/>
    </row>
    <row r="84" spans="1:14" ht="12.75">
      <c r="A84" s="130"/>
      <c r="B84" s="130"/>
      <c r="C84" s="130"/>
      <c r="D84" s="130"/>
      <c r="E84" s="130"/>
      <c r="F84" s="130"/>
      <c r="G84" s="130"/>
      <c r="H84" s="130"/>
      <c r="I84" s="130"/>
      <c r="J84" s="130"/>
      <c r="K84" s="130"/>
      <c r="L84" s="130"/>
      <c r="M84" s="130"/>
      <c r="N84" s="130"/>
    </row>
    <row r="85" spans="1:14" ht="12.75">
      <c r="A85" s="130"/>
      <c r="B85" s="130"/>
      <c r="C85" s="130"/>
      <c r="D85" s="130"/>
      <c r="E85" s="130"/>
      <c r="F85" s="130"/>
      <c r="G85" s="130"/>
      <c r="H85" s="130"/>
      <c r="I85" s="130"/>
      <c r="J85" s="130"/>
      <c r="K85" s="130"/>
      <c r="L85" s="130"/>
      <c r="M85" s="130"/>
      <c r="N85" s="130"/>
    </row>
    <row r="86" spans="1:14" ht="12.75">
      <c r="A86" s="130"/>
      <c r="B86" s="130"/>
      <c r="C86" s="130"/>
      <c r="D86" s="130"/>
      <c r="E86" s="130"/>
      <c r="F86" s="130"/>
      <c r="G86" s="130"/>
      <c r="H86" s="130"/>
      <c r="I86" s="130"/>
      <c r="J86" s="130"/>
      <c r="K86" s="130"/>
      <c r="L86" s="130"/>
      <c r="M86" s="130"/>
      <c r="N86" s="130"/>
    </row>
    <row r="87" spans="1:14" ht="12.75">
      <c r="A87" s="130"/>
      <c r="B87" s="130"/>
      <c r="C87" s="130"/>
      <c r="D87" s="130"/>
      <c r="E87" s="130"/>
      <c r="F87" s="130"/>
      <c r="G87" s="130"/>
      <c r="H87" s="130"/>
      <c r="I87" s="130"/>
      <c r="J87" s="130"/>
      <c r="K87" s="130"/>
      <c r="L87" s="130"/>
      <c r="M87" s="130"/>
      <c r="N87" s="130"/>
    </row>
    <row r="88" spans="1:14" ht="12.75">
      <c r="A88" s="130"/>
      <c r="B88" s="130"/>
      <c r="C88" s="130"/>
      <c r="D88" s="130"/>
      <c r="E88" s="130"/>
      <c r="F88" s="130"/>
      <c r="G88" s="130"/>
      <c r="H88" s="130"/>
      <c r="I88" s="130"/>
      <c r="J88" s="130"/>
      <c r="K88" s="130"/>
      <c r="L88" s="130"/>
      <c r="M88" s="130"/>
      <c r="N88" s="130"/>
    </row>
  </sheetData>
  <sheetProtection/>
  <printOptions/>
  <pageMargins left="0.787401575" right="0.787401575" top="0.984251969" bottom="0.984251969"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FTRAISSARD</dc:creator>
  <cp:keywords/>
  <dc:description/>
  <cp:lastModifiedBy>pc</cp:lastModifiedBy>
  <cp:lastPrinted>2008-01-15T17:30:52Z</cp:lastPrinted>
  <dcterms:created xsi:type="dcterms:W3CDTF">2007-12-21T15:11:47Z</dcterms:created>
  <dcterms:modified xsi:type="dcterms:W3CDTF">2013-05-08T15:58:38Z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